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kmalone\Documents\My Webs\dmv.nv.gov\pdfforms\"/>
    </mc:Choice>
  </mc:AlternateContent>
  <xr:revisionPtr revIDLastSave="0" documentId="8_{D5DB9B30-8B1D-47E6-8978-4E573464652C}" xr6:coauthVersionLast="47" xr6:coauthVersionMax="47" xr10:uidLastSave="{00000000-0000-0000-0000-000000000000}"/>
  <bookViews>
    <workbookView xWindow="-120" yWindow="-120" windowWidth="29040" windowHeight="15840" tabRatio="978" activeTab="1" xr2:uid="{00000000-000D-0000-FFFF-FFFF00000000}"/>
  </bookViews>
  <sheets>
    <sheet name="Weight Fee" sheetId="29" r:id="rId1"/>
    <sheet name="NV Based GST (2024)" sheetId="28" r:id="rId2"/>
  </sheets>
  <definedNames>
    <definedName name="_xlnm.Print_Titles" localSheetId="0">'Weight Fee'!$3:$4</definedName>
    <definedName name="Z_B83037C7_65F4_412D_88E3_DAC6A077446C_.wvu.PrintTitles" localSheetId="0" hidden="1">'Weight Fee'!$2:$2</definedName>
  </definedNames>
  <calcPr calcId="191029" fullPrecision="0"/>
  <customWorkbookViews>
    <customWorkbookView name="Heather Saunders - Personal View" guid="{B83037C7-65F4-412D-88E3-DAC6A077446C}" mergeInterval="0" personalView="1" maximized="1" windowWidth="1280" windowHeight="7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28" l="1"/>
  <c r="F45" i="28" s="1"/>
  <c r="B44" i="28"/>
  <c r="B45" i="28" s="1"/>
  <c r="B46" i="28" l="1"/>
  <c r="B47" i="28" s="1"/>
  <c r="B48" i="28" s="1"/>
  <c r="B49" i="28" s="1"/>
  <c r="B50" i="28" s="1"/>
  <c r="B51" i="28" s="1"/>
  <c r="B52" i="28" s="1"/>
  <c r="B53" i="28" s="1"/>
  <c r="B54" i="28" s="1"/>
  <c r="B55" i="28" s="1"/>
  <c r="B56" i="28" s="1"/>
  <c r="B57" i="28" s="1"/>
  <c r="B58" i="28" s="1"/>
  <c r="B59" i="28" s="1"/>
  <c r="B60" i="28" s="1"/>
  <c r="B61" i="28" s="1"/>
  <c r="B62" i="28" s="1"/>
  <c r="B63" i="28" s="1"/>
  <c r="B64" i="28" s="1"/>
  <c r="B65" i="28" s="1"/>
  <c r="B66" i="28" s="1"/>
  <c r="B67" i="28" s="1"/>
  <c r="B68" i="28" s="1"/>
  <c r="B69" i="28" s="1"/>
  <c r="B70" i="28" s="1"/>
  <c r="B71" i="28" s="1"/>
  <c r="B72" i="28" s="1"/>
  <c r="B73" i="28" s="1"/>
  <c r="B74" i="28" s="1"/>
  <c r="B75" i="28" s="1"/>
  <c r="B76" i="28" s="1"/>
  <c r="B77" i="28" s="1"/>
  <c r="B78" i="28" s="1"/>
  <c r="B79" i="28" s="1"/>
  <c r="F46" i="28"/>
  <c r="F47" i="28" s="1"/>
  <c r="F48" i="28" s="1"/>
  <c r="F49" i="28" s="1"/>
  <c r="F50" i="28" s="1"/>
  <c r="F51" i="28" s="1"/>
  <c r="F52" i="28" s="1"/>
  <c r="F53" i="28" s="1"/>
  <c r="F54" i="28" s="1"/>
  <c r="F55" i="28" s="1"/>
  <c r="F56" i="28" s="1"/>
  <c r="F57" i="28" s="1"/>
  <c r="F58" i="28" s="1"/>
  <c r="F59" i="28" s="1"/>
  <c r="F60" i="28" s="1"/>
  <c r="F61" i="28" s="1"/>
  <c r="F62" i="28" s="1"/>
  <c r="F63" i="28" s="1"/>
  <c r="F64" i="28" s="1"/>
  <c r="F65" i="28" s="1"/>
  <c r="F66" i="28" s="1"/>
  <c r="F67" i="28" s="1"/>
  <c r="F68" i="28" s="1"/>
  <c r="F69" i="28" s="1"/>
  <c r="F70" i="28" s="1"/>
  <c r="F71" i="28" s="1"/>
  <c r="F72" i="28" s="1"/>
  <c r="F73" i="28" s="1"/>
  <c r="F74" i="28" s="1"/>
  <c r="F75" i="28" s="1"/>
  <c r="F76" i="28" s="1"/>
  <c r="F77" i="28" s="1"/>
  <c r="F78" i="28" s="1"/>
  <c r="F79" i="28" s="1"/>
  <c r="C51" i="28"/>
  <c r="C50" i="28" s="1"/>
  <c r="C49" i="28" s="1"/>
  <c r="C48" i="28" s="1"/>
  <c r="C47" i="28" s="1"/>
  <c r="C46" i="28" s="1"/>
  <c r="C45" i="28" s="1"/>
  <c r="C44" i="28" s="1"/>
  <c r="D51" i="28"/>
  <c r="D50" i="28" s="1"/>
  <c r="D49" i="28" s="1"/>
  <c r="D48" i="28" s="1"/>
  <c r="D47" i="28" s="1"/>
  <c r="G51" i="28"/>
  <c r="G50" i="28" s="1"/>
  <c r="G49" i="28" s="1"/>
  <c r="G48" i="28" s="1"/>
  <c r="G47" i="28" s="1"/>
  <c r="G46" i="28" s="1"/>
  <c r="G45" i="28" s="1"/>
  <c r="G44" i="28" s="1"/>
  <c r="B21" i="28"/>
  <c r="E21" i="28"/>
  <c r="H21" i="28"/>
  <c r="L21" i="28"/>
  <c r="O21" i="28"/>
  <c r="R21" i="28"/>
  <c r="L45" i="28" l="1"/>
  <c r="D46" i="28"/>
  <c r="D45" i="28" s="1"/>
  <c r="D44" i="28" s="1"/>
  <c r="L72" i="28"/>
  <c r="L65" i="28"/>
  <c r="L57" i="28"/>
  <c r="L48" i="28"/>
  <c r="B22" i="28" l="1"/>
  <c r="C5" i="29"/>
  <c r="D5" i="29"/>
  <c r="E5" i="29"/>
  <c r="F5" i="29"/>
  <c r="G5" i="29"/>
  <c r="H5" i="29"/>
  <c r="I5" i="29"/>
  <c r="J5" i="29"/>
  <c r="K5" i="29"/>
  <c r="L5" i="29"/>
  <c r="M5" i="29"/>
  <c r="C6" i="29"/>
  <c r="D6" i="29"/>
  <c r="E6" i="29"/>
  <c r="F6" i="29"/>
  <c r="G6" i="29"/>
  <c r="H6" i="29"/>
  <c r="I6" i="29"/>
  <c r="J6" i="29"/>
  <c r="K6" i="29"/>
  <c r="L6" i="29"/>
  <c r="M6" i="29"/>
  <c r="C7" i="29"/>
  <c r="D7" i="29"/>
  <c r="E7" i="29"/>
  <c r="F7" i="29"/>
  <c r="G7" i="29"/>
  <c r="H7" i="29"/>
  <c r="I7" i="29"/>
  <c r="J7" i="29"/>
  <c r="K7" i="29"/>
  <c r="L7" i="29"/>
  <c r="M7" i="29"/>
  <c r="B8" i="29"/>
  <c r="F8" i="29" s="1"/>
  <c r="B24" i="29"/>
  <c r="F24" i="29" s="1"/>
  <c r="M24" i="29"/>
  <c r="B25" i="29"/>
  <c r="H25" i="29"/>
  <c r="A77" i="29"/>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J24" i="29" l="1"/>
  <c r="H24" i="29"/>
  <c r="I8" i="29"/>
  <c r="G8" i="29"/>
  <c r="K8" i="29"/>
  <c r="E8" i="29"/>
  <c r="D8" i="29"/>
  <c r="J8" i="29"/>
  <c r="L8" i="29"/>
  <c r="H8" i="29"/>
  <c r="M8" i="29"/>
  <c r="B9" i="29"/>
  <c r="C8" i="29"/>
  <c r="E25" i="29"/>
  <c r="M25" i="29"/>
  <c r="C25" i="29"/>
  <c r="K25" i="29"/>
  <c r="I25" i="29"/>
  <c r="D25" i="29"/>
  <c r="B26" i="29"/>
  <c r="F25" i="29"/>
  <c r="G25" i="29"/>
  <c r="J25" i="29"/>
  <c r="L25" i="29"/>
  <c r="I24" i="29"/>
  <c r="G24" i="29"/>
  <c r="K24" i="29"/>
  <c r="E24" i="29"/>
  <c r="L24" i="29"/>
  <c r="C24" i="29"/>
  <c r="D24" i="29"/>
  <c r="C43" i="28"/>
  <c r="D43" i="28"/>
  <c r="G43" i="28"/>
  <c r="I26" i="29" l="1"/>
  <c r="G26" i="29"/>
  <c r="H26" i="29"/>
  <c r="C26" i="29"/>
  <c r="M26" i="29"/>
  <c r="F26" i="29"/>
  <c r="J26" i="29"/>
  <c r="D26" i="29"/>
  <c r="E26" i="29"/>
  <c r="B27" i="29"/>
  <c r="K26" i="29"/>
  <c r="L26" i="29"/>
  <c r="E9" i="29"/>
  <c r="M9" i="29"/>
  <c r="C9" i="29"/>
  <c r="K9" i="29"/>
  <c r="I9" i="29"/>
  <c r="D9" i="29"/>
  <c r="G9" i="29"/>
  <c r="L9" i="29"/>
  <c r="B10" i="29"/>
  <c r="F9" i="29"/>
  <c r="H9" i="29"/>
  <c r="J9" i="29"/>
  <c r="I65" i="28"/>
  <c r="P65" i="28" s="1"/>
  <c r="I56" i="28"/>
  <c r="P56" i="28" s="1"/>
  <c r="I47" i="28"/>
  <c r="P47" i="28" s="1"/>
  <c r="J57" i="28"/>
  <c r="P57" i="28" s="1"/>
  <c r="I58" i="28" s="1"/>
  <c r="M58" i="28" s="1"/>
  <c r="J48" i="28"/>
  <c r="P48" i="28" s="1"/>
  <c r="I49" i="28" s="1"/>
  <c r="M49" i="28" s="1"/>
  <c r="P31" i="28"/>
  <c r="M31" i="28"/>
  <c r="F31" i="28"/>
  <c r="C31" i="28"/>
  <c r="S30" i="28"/>
  <c r="P30" i="28"/>
  <c r="M30" i="28"/>
  <c r="I30" i="28"/>
  <c r="F30" i="28"/>
  <c r="C30" i="28"/>
  <c r="S29" i="28"/>
  <c r="P29" i="28"/>
  <c r="M29" i="28"/>
  <c r="I29" i="28"/>
  <c r="F29" i="28"/>
  <c r="C29" i="28"/>
  <c r="S28" i="28"/>
  <c r="P28" i="28"/>
  <c r="M28" i="28"/>
  <c r="I28" i="28"/>
  <c r="F28" i="28"/>
  <c r="C28" i="28"/>
  <c r="S27" i="28"/>
  <c r="P27" i="28"/>
  <c r="M27" i="28"/>
  <c r="I27" i="28"/>
  <c r="F27" i="28"/>
  <c r="C27" i="28"/>
  <c r="S26" i="28"/>
  <c r="P26" i="28"/>
  <c r="M26" i="28"/>
  <c r="I26" i="28"/>
  <c r="F26" i="28"/>
  <c r="C26" i="28"/>
  <c r="S25" i="28"/>
  <c r="P25" i="28"/>
  <c r="M25" i="28"/>
  <c r="I25" i="28"/>
  <c r="F25" i="28"/>
  <c r="C25" i="28"/>
  <c r="S24" i="28"/>
  <c r="P24" i="28"/>
  <c r="N71" i="28" s="1"/>
  <c r="P71" i="28" s="1"/>
  <c r="I72" i="28" s="1"/>
  <c r="P72" i="28" s="1"/>
  <c r="M24" i="28"/>
  <c r="N63" i="28" s="1"/>
  <c r="I24" i="28"/>
  <c r="F24" i="28"/>
  <c r="N54" i="28" s="1"/>
  <c r="P54" i="28" s="1"/>
  <c r="I55" i="28" s="1"/>
  <c r="C24" i="28"/>
  <c r="S23" i="28"/>
  <c r="P23" i="28"/>
  <c r="M23" i="28"/>
  <c r="I23" i="28"/>
  <c r="F23" i="28"/>
  <c r="C23" i="28"/>
  <c r="S22" i="28"/>
  <c r="R22" i="28"/>
  <c r="R23" i="28" s="1"/>
  <c r="R24" i="28" s="1"/>
  <c r="R25" i="28" s="1"/>
  <c r="R26" i="28" s="1"/>
  <c r="R27" i="28" s="1"/>
  <c r="R28" i="28" s="1"/>
  <c r="R29" i="28" s="1"/>
  <c r="R30" i="28" s="1"/>
  <c r="P22" i="28"/>
  <c r="O22" i="28"/>
  <c r="O23" i="28" s="1"/>
  <c r="O24" i="28" s="1"/>
  <c r="O25" i="28" s="1"/>
  <c r="O26" i="28" s="1"/>
  <c r="O27" i="28" s="1"/>
  <c r="O28" i="28" s="1"/>
  <c r="O29" i="28" s="1"/>
  <c r="O30" i="28" s="1"/>
  <c r="O31" i="28" s="1"/>
  <c r="M22" i="28"/>
  <c r="L22" i="28"/>
  <c r="L23" i="28" s="1"/>
  <c r="L24" i="28" s="1"/>
  <c r="L25" i="28" s="1"/>
  <c r="L26" i="28" s="1"/>
  <c r="L27" i="28" s="1"/>
  <c r="L28" i="28" s="1"/>
  <c r="L29" i="28" s="1"/>
  <c r="L30" i="28" s="1"/>
  <c r="L31" i="28" s="1"/>
  <c r="I22" i="28"/>
  <c r="H22" i="28"/>
  <c r="H23" i="28" s="1"/>
  <c r="H24" i="28" s="1"/>
  <c r="H25" i="28" s="1"/>
  <c r="H26" i="28" s="1"/>
  <c r="H27" i="28" s="1"/>
  <c r="H28" i="28" s="1"/>
  <c r="H29" i="28" s="1"/>
  <c r="H30" i="28" s="1"/>
  <c r="F22" i="28"/>
  <c r="E22" i="28"/>
  <c r="E23" i="28" s="1"/>
  <c r="E24" i="28" s="1"/>
  <c r="E25" i="28" s="1"/>
  <c r="E26" i="28" s="1"/>
  <c r="E27" i="28" s="1"/>
  <c r="E28" i="28" s="1"/>
  <c r="E29" i="28" s="1"/>
  <c r="E30" i="28" s="1"/>
  <c r="E31" i="28" s="1"/>
  <c r="C22" i="28"/>
  <c r="B23" i="28"/>
  <c r="B24" i="28" s="1"/>
  <c r="B25" i="28" s="1"/>
  <c r="B26" i="28" s="1"/>
  <c r="B27" i="28" s="1"/>
  <c r="B28" i="28" s="1"/>
  <c r="B29" i="28" s="1"/>
  <c r="B30" i="28" s="1"/>
  <c r="B31" i="28" s="1"/>
  <c r="S21" i="28"/>
  <c r="P21" i="28"/>
  <c r="M21" i="28"/>
  <c r="I21" i="28"/>
  <c r="F21" i="28"/>
  <c r="C21" i="28"/>
  <c r="E27" i="29" l="1"/>
  <c r="M27" i="29"/>
  <c r="C27" i="29"/>
  <c r="K27" i="29"/>
  <c r="G27" i="29"/>
  <c r="L27" i="29"/>
  <c r="D27" i="29"/>
  <c r="I27" i="29"/>
  <c r="J27" i="29"/>
  <c r="H27" i="29"/>
  <c r="B28" i="29"/>
  <c r="F27" i="29"/>
  <c r="I10" i="29"/>
  <c r="G10" i="29"/>
  <c r="H10" i="29"/>
  <c r="C10" i="29"/>
  <c r="M10" i="29"/>
  <c r="J10" i="29"/>
  <c r="B11" i="29"/>
  <c r="F10" i="29"/>
  <c r="K10" i="29"/>
  <c r="L10" i="29"/>
  <c r="D10" i="29"/>
  <c r="E10" i="29"/>
  <c r="P63" i="28"/>
  <c r="I64" i="28" s="1"/>
  <c r="P45" i="28"/>
  <c r="I46" i="28" s="1"/>
  <c r="E11" i="29" l="1"/>
  <c r="M11" i="29"/>
  <c r="C11" i="29"/>
  <c r="K11" i="29"/>
  <c r="G11" i="29"/>
  <c r="L11" i="29"/>
  <c r="J11" i="29"/>
  <c r="D11" i="29"/>
  <c r="F11" i="29"/>
  <c r="H11" i="29"/>
  <c r="I11" i="29"/>
  <c r="B12" i="29"/>
  <c r="I28" i="29"/>
  <c r="G28" i="29"/>
  <c r="E28" i="29"/>
  <c r="K28" i="29"/>
  <c r="F28" i="29"/>
  <c r="L28" i="29"/>
  <c r="M28" i="29"/>
  <c r="C28" i="29"/>
  <c r="D28" i="29"/>
  <c r="H28" i="29"/>
  <c r="J28" i="29"/>
  <c r="B29" i="29"/>
  <c r="E29" i="29" l="1"/>
  <c r="M29" i="29"/>
  <c r="C29" i="29"/>
  <c r="K29" i="29"/>
  <c r="D29" i="29"/>
  <c r="I29" i="29"/>
  <c r="H29" i="29"/>
  <c r="B30" i="29"/>
  <c r="G29" i="29"/>
  <c r="J29" i="29"/>
  <c r="L29" i="29"/>
  <c r="F29" i="29"/>
  <c r="I12" i="29"/>
  <c r="G12" i="29"/>
  <c r="E12" i="29"/>
  <c r="K12" i="29"/>
  <c r="M12" i="29"/>
  <c r="D12" i="29"/>
  <c r="F12" i="29"/>
  <c r="H12" i="29"/>
  <c r="J12" i="29"/>
  <c r="L12" i="29"/>
  <c r="B13" i="29"/>
  <c r="C12" i="29"/>
  <c r="I30" i="29" l="1"/>
  <c r="G30" i="29"/>
  <c r="C30" i="29"/>
  <c r="M30" i="29"/>
  <c r="H30" i="29"/>
  <c r="K30" i="29"/>
  <c r="D30" i="29"/>
  <c r="E30" i="29"/>
  <c r="L30" i="29"/>
  <c r="B31" i="29"/>
  <c r="J30" i="29"/>
  <c r="F30" i="29"/>
  <c r="E13" i="29"/>
  <c r="M13" i="29"/>
  <c r="C13" i="29"/>
  <c r="K13" i="29"/>
  <c r="D13" i="29"/>
  <c r="I13" i="29"/>
  <c r="G13" i="29"/>
  <c r="H13" i="29"/>
  <c r="F13" i="29"/>
  <c r="J13" i="29"/>
  <c r="L13" i="29"/>
  <c r="B14" i="29"/>
  <c r="E31" i="29" l="1"/>
  <c r="M31" i="29"/>
  <c r="C31" i="29"/>
  <c r="K31" i="29"/>
  <c r="L31" i="29"/>
  <c r="G31" i="29"/>
  <c r="B32" i="29"/>
  <c r="D31" i="29"/>
  <c r="F31" i="29"/>
  <c r="H31" i="29"/>
  <c r="I31" i="29"/>
  <c r="J31" i="29"/>
  <c r="I14" i="29"/>
  <c r="G14" i="29"/>
  <c r="C14" i="29"/>
  <c r="M14" i="29"/>
  <c r="H14" i="29"/>
  <c r="D14" i="29"/>
  <c r="J14" i="29"/>
  <c r="K14" i="29"/>
  <c r="E14" i="29"/>
  <c r="F14" i="29"/>
  <c r="L14" i="29"/>
  <c r="B15" i="29"/>
  <c r="E15" i="29" l="1"/>
  <c r="M15" i="29"/>
  <c r="C15" i="29"/>
  <c r="K15" i="29"/>
  <c r="L15" i="29"/>
  <c r="G15" i="29"/>
  <c r="F15" i="29"/>
  <c r="J15" i="29"/>
  <c r="B16" i="29"/>
  <c r="D15" i="29"/>
  <c r="H15" i="29"/>
  <c r="I15" i="29"/>
  <c r="I32" i="29"/>
  <c r="G32" i="29"/>
  <c r="K32" i="29"/>
  <c r="E32" i="29"/>
  <c r="B33" i="29"/>
  <c r="F32" i="29"/>
  <c r="H32" i="29"/>
  <c r="C32" i="29"/>
  <c r="D32" i="29"/>
  <c r="J32" i="29"/>
  <c r="L32" i="29"/>
  <c r="M32" i="29"/>
  <c r="E33" i="29" l="1"/>
  <c r="M33" i="29"/>
  <c r="C33" i="29"/>
  <c r="K33" i="29"/>
  <c r="I33" i="29"/>
  <c r="D33" i="29"/>
  <c r="H33" i="29"/>
  <c r="J33" i="29"/>
  <c r="F33" i="29"/>
  <c r="G33" i="29"/>
  <c r="L33" i="29"/>
  <c r="B34" i="29"/>
  <c r="I16" i="29"/>
  <c r="G16" i="29"/>
  <c r="K16" i="29"/>
  <c r="E16" i="29"/>
  <c r="H16" i="29"/>
  <c r="M16" i="29"/>
  <c r="B17" i="29"/>
  <c r="D16" i="29"/>
  <c r="F16" i="29"/>
  <c r="J16" i="29"/>
  <c r="L16" i="29"/>
  <c r="C16" i="29"/>
  <c r="I34" i="29" l="1"/>
  <c r="G34" i="29"/>
  <c r="H34" i="29"/>
  <c r="C34" i="29"/>
  <c r="M34" i="29"/>
  <c r="E34" i="29"/>
  <c r="K34" i="29"/>
  <c r="L34" i="29"/>
  <c r="J34" i="29"/>
  <c r="B35" i="29"/>
  <c r="D34" i="29"/>
  <c r="F34" i="29"/>
  <c r="E17" i="29"/>
  <c r="M17" i="29"/>
  <c r="C17" i="29"/>
  <c r="K17" i="29"/>
  <c r="I17" i="29"/>
  <c r="D17" i="29"/>
  <c r="J17" i="29"/>
  <c r="B18" i="29"/>
  <c r="F17" i="29"/>
  <c r="G17" i="29"/>
  <c r="H17" i="29"/>
  <c r="L17" i="29"/>
  <c r="I18" i="29" l="1"/>
  <c r="G18" i="29"/>
  <c r="H18" i="29"/>
  <c r="C18" i="29"/>
  <c r="M18" i="29"/>
  <c r="L18" i="29"/>
  <c r="D18" i="29"/>
  <c r="E18" i="29"/>
  <c r="F18" i="29"/>
  <c r="J18" i="29"/>
  <c r="K18" i="29"/>
  <c r="B19" i="29"/>
  <c r="E35" i="29"/>
  <c r="M35" i="29"/>
  <c r="C35" i="29"/>
  <c r="K35" i="29"/>
  <c r="G35" i="29"/>
  <c r="L35" i="29"/>
  <c r="H35" i="29"/>
  <c r="B36" i="29"/>
  <c r="D35" i="29"/>
  <c r="F35" i="29"/>
  <c r="I35" i="29"/>
  <c r="J35" i="29"/>
  <c r="E19" i="29" l="1"/>
  <c r="M19" i="29"/>
  <c r="C19" i="29"/>
  <c r="K19" i="29"/>
  <c r="G19" i="29"/>
  <c r="L19" i="29"/>
  <c r="F19" i="29"/>
  <c r="H19" i="29"/>
  <c r="B20" i="29"/>
  <c r="D19" i="29"/>
  <c r="J19" i="29"/>
  <c r="I19" i="29"/>
  <c r="I36" i="29"/>
  <c r="G36" i="29"/>
  <c r="E36" i="29"/>
  <c r="K36" i="29"/>
  <c r="J36" i="29"/>
  <c r="B37" i="29"/>
  <c r="C36" i="29"/>
  <c r="M36" i="29"/>
  <c r="D36" i="29"/>
  <c r="F36" i="29"/>
  <c r="H36" i="29"/>
  <c r="L36" i="29"/>
  <c r="E37" i="29" l="1"/>
  <c r="M37" i="29"/>
  <c r="C37" i="29"/>
  <c r="K37" i="29"/>
  <c r="D37" i="29"/>
  <c r="I37" i="29"/>
  <c r="L37" i="29"/>
  <c r="F37" i="29"/>
  <c r="G37" i="29"/>
  <c r="H37" i="29"/>
  <c r="J37" i="29"/>
  <c r="B38" i="29"/>
  <c r="I20" i="29"/>
  <c r="G20" i="29"/>
  <c r="E20" i="29"/>
  <c r="K20" i="29"/>
  <c r="C20" i="29"/>
  <c r="H20" i="29"/>
  <c r="J20" i="29"/>
  <c r="D20" i="29"/>
  <c r="F20" i="29"/>
  <c r="L20" i="29"/>
  <c r="M20" i="29"/>
  <c r="B21" i="29"/>
  <c r="E21" i="29" l="1"/>
  <c r="M21" i="29"/>
  <c r="C21" i="29"/>
  <c r="K21" i="29"/>
  <c r="D21" i="29"/>
  <c r="I21" i="29"/>
  <c r="F21" i="29"/>
  <c r="J21" i="29"/>
  <c r="L21" i="29"/>
  <c r="B22" i="29"/>
  <c r="G21" i="29"/>
  <c r="H21" i="29"/>
  <c r="I38" i="29"/>
  <c r="G38" i="29"/>
  <c r="C38" i="29"/>
  <c r="M38" i="29"/>
  <c r="H38" i="29"/>
  <c r="B39" i="29"/>
  <c r="E38" i="29"/>
  <c r="F38" i="29"/>
  <c r="L38" i="29"/>
  <c r="J38" i="29"/>
  <c r="K38" i="29"/>
  <c r="D38" i="29"/>
  <c r="I22" i="29" l="1"/>
  <c r="G22" i="29"/>
  <c r="C22" i="29"/>
  <c r="M22" i="29"/>
  <c r="H22" i="29"/>
  <c r="F22" i="29"/>
  <c r="L22" i="29"/>
  <c r="B23" i="29"/>
  <c r="D22" i="29"/>
  <c r="E22" i="29"/>
  <c r="J22" i="29"/>
  <c r="K22" i="29"/>
  <c r="E39" i="29"/>
  <c r="M39" i="29"/>
  <c r="C39" i="29"/>
  <c r="K39" i="29"/>
  <c r="L39" i="29"/>
  <c r="G39" i="29"/>
  <c r="H39" i="29"/>
  <c r="I39" i="29"/>
  <c r="D39" i="29"/>
  <c r="F39" i="29"/>
  <c r="J39" i="29"/>
  <c r="B40" i="29"/>
  <c r="E23" i="29" l="1"/>
  <c r="M23" i="29"/>
  <c r="C23" i="29"/>
  <c r="K23" i="29"/>
  <c r="L23" i="29"/>
  <c r="G23" i="29"/>
  <c r="I23" i="29"/>
  <c r="J23" i="29"/>
  <c r="D23" i="29"/>
  <c r="F23" i="29"/>
  <c r="H23" i="29"/>
  <c r="I40" i="29"/>
  <c r="G40" i="29"/>
  <c r="K40" i="29"/>
  <c r="E40" i="29"/>
  <c r="D40" i="29"/>
  <c r="J40" i="29"/>
  <c r="L40" i="29"/>
  <c r="M40" i="29"/>
  <c r="B41" i="29"/>
  <c r="C40" i="29"/>
  <c r="F40" i="29"/>
  <c r="H40" i="29"/>
  <c r="E41" i="29" l="1"/>
  <c r="M41" i="29"/>
  <c r="C41" i="29"/>
  <c r="K41" i="29"/>
  <c r="I41" i="29"/>
  <c r="D41" i="29"/>
  <c r="G41" i="29"/>
  <c r="L41" i="29"/>
  <c r="B42" i="29"/>
  <c r="F41" i="29"/>
  <c r="H41" i="29"/>
  <c r="J41" i="29"/>
  <c r="I42" i="29" l="1"/>
  <c r="G42" i="29"/>
  <c r="H42" i="29"/>
  <c r="C42" i="29"/>
  <c r="M42" i="29"/>
  <c r="J42" i="29"/>
  <c r="B43" i="29"/>
  <c r="K42" i="29"/>
  <c r="L42" i="29"/>
  <c r="E42" i="29"/>
  <c r="F42" i="29"/>
  <c r="D42" i="29"/>
  <c r="E43" i="29" l="1"/>
  <c r="M43" i="29"/>
  <c r="C43" i="29"/>
  <c r="K43" i="29"/>
  <c r="G43" i="29"/>
  <c r="L43" i="29"/>
  <c r="J43" i="29"/>
  <c r="D43" i="29"/>
  <c r="F43" i="29"/>
  <c r="H43" i="29"/>
  <c r="I43" i="29"/>
  <c r="B44" i="29"/>
  <c r="I44" i="29" l="1"/>
  <c r="G44" i="29"/>
  <c r="E44" i="29"/>
  <c r="K44" i="29"/>
  <c r="M44" i="29"/>
  <c r="D44" i="29"/>
  <c r="F44" i="29"/>
  <c r="J44" i="29"/>
  <c r="L44" i="29"/>
  <c r="B45" i="29"/>
  <c r="C44" i="29"/>
  <c r="H44" i="29"/>
  <c r="E45" i="29" l="1"/>
  <c r="M45" i="29"/>
  <c r="C45" i="29"/>
  <c r="K45" i="29"/>
  <c r="D45" i="29"/>
  <c r="I45" i="29"/>
  <c r="G45" i="29"/>
  <c r="H45" i="29"/>
  <c r="F45" i="29"/>
  <c r="B46" i="29"/>
  <c r="J45" i="29"/>
  <c r="L45" i="29"/>
  <c r="I46" i="29" l="1"/>
  <c r="G46" i="29"/>
  <c r="C46" i="29"/>
  <c r="M46" i="29"/>
  <c r="H46" i="29"/>
  <c r="D46" i="29"/>
  <c r="J46" i="29"/>
  <c r="K46" i="29"/>
  <c r="F46" i="29"/>
  <c r="L46" i="29"/>
  <c r="B47" i="29"/>
  <c r="E46" i="29"/>
  <c r="E47" i="29" l="1"/>
  <c r="M47" i="29"/>
  <c r="C47" i="29"/>
  <c r="K47" i="29"/>
  <c r="L47" i="29"/>
  <c r="G47" i="29"/>
  <c r="F47" i="29"/>
  <c r="J47" i="29"/>
  <c r="B48" i="29"/>
  <c r="D47" i="29"/>
  <c r="H47" i="29"/>
  <c r="I47" i="29"/>
  <c r="I48" i="29" l="1"/>
  <c r="G48" i="29"/>
  <c r="K48" i="29"/>
  <c r="E48" i="29"/>
  <c r="H48" i="29"/>
  <c r="M48" i="29"/>
  <c r="B49" i="29"/>
  <c r="F48" i="29"/>
  <c r="J48" i="29"/>
  <c r="L48" i="29"/>
  <c r="C48" i="29"/>
  <c r="D48" i="29"/>
  <c r="E49" i="29" l="1"/>
  <c r="M49" i="29"/>
  <c r="C49" i="29"/>
  <c r="K49" i="29"/>
  <c r="I49" i="29"/>
  <c r="D49" i="29"/>
  <c r="J49" i="29"/>
  <c r="F49" i="29"/>
  <c r="L49" i="29"/>
  <c r="B50" i="29"/>
  <c r="G49" i="29"/>
  <c r="H49" i="29"/>
  <c r="I50" i="29" l="1"/>
  <c r="G50" i="29"/>
  <c r="H50" i="29"/>
  <c r="C50" i="29"/>
  <c r="M50" i="29"/>
  <c r="L50" i="29"/>
  <c r="D50" i="29"/>
  <c r="E50" i="29"/>
  <c r="F50" i="29"/>
  <c r="J50" i="29"/>
  <c r="K50" i="29"/>
  <c r="B51" i="29"/>
  <c r="E51" i="29" l="1"/>
  <c r="M51" i="29"/>
  <c r="C51" i="29"/>
  <c r="K51" i="29"/>
  <c r="G51" i="29"/>
  <c r="L51" i="29"/>
  <c r="F51" i="29"/>
  <c r="H51" i="29"/>
  <c r="D51" i="29"/>
  <c r="I51" i="29"/>
  <c r="J51" i="29"/>
  <c r="B52" i="29"/>
  <c r="I52" i="29" l="1"/>
  <c r="G52" i="29"/>
  <c r="E52" i="29"/>
  <c r="K52" i="29"/>
  <c r="C52" i="29"/>
  <c r="H52" i="29"/>
  <c r="J52" i="29"/>
  <c r="D52" i="29"/>
  <c r="F52" i="29"/>
  <c r="L52" i="29"/>
  <c r="M52" i="29"/>
  <c r="B53" i="29"/>
  <c r="E53" i="29" l="1"/>
  <c r="M53" i="29"/>
  <c r="C53" i="29"/>
  <c r="K53" i="29"/>
  <c r="D53" i="29"/>
  <c r="I53" i="29"/>
  <c r="F53" i="29"/>
  <c r="J53" i="29"/>
  <c r="L53" i="29"/>
  <c r="H53" i="29"/>
  <c r="B54" i="29"/>
  <c r="G53" i="29"/>
  <c r="I54" i="29" l="1"/>
  <c r="G54" i="29"/>
  <c r="C54" i="29"/>
  <c r="M54" i="29"/>
  <c r="H54" i="29"/>
  <c r="F54" i="29"/>
  <c r="L54" i="29"/>
  <c r="B55" i="29"/>
  <c r="D54" i="29"/>
  <c r="E54" i="29"/>
  <c r="J54" i="29"/>
  <c r="K54" i="29"/>
  <c r="E55" i="29" l="1"/>
  <c r="M55" i="29"/>
  <c r="C55" i="29"/>
  <c r="K55" i="29"/>
  <c r="L55" i="29"/>
  <c r="G55" i="29"/>
  <c r="I55" i="29"/>
  <c r="B56" i="29"/>
  <c r="D55" i="29"/>
  <c r="F55" i="29"/>
  <c r="H55" i="29"/>
  <c r="J55" i="29"/>
  <c r="I56" i="29" l="1"/>
  <c r="G56" i="29"/>
  <c r="K56" i="29"/>
  <c r="E56" i="29"/>
  <c r="L56" i="29"/>
  <c r="C56" i="29"/>
  <c r="D56" i="29"/>
  <c r="F56" i="29"/>
  <c r="H56" i="29"/>
  <c r="J56" i="29"/>
  <c r="M56" i="29"/>
  <c r="B57" i="29"/>
  <c r="E57" i="29" l="1"/>
  <c r="M57" i="29"/>
  <c r="C57" i="29"/>
  <c r="K57" i="29"/>
  <c r="I57" i="29"/>
  <c r="D57" i="29"/>
  <c r="B58" i="29"/>
  <c r="F57" i="29"/>
  <c r="G57" i="29"/>
  <c r="L57" i="29"/>
  <c r="H57" i="29"/>
  <c r="J57" i="29"/>
  <c r="I58" i="29" l="1"/>
  <c r="G58" i="29"/>
  <c r="H58" i="29"/>
  <c r="C58" i="29"/>
  <c r="M58" i="29"/>
  <c r="F58" i="29"/>
  <c r="J58" i="29"/>
  <c r="D58" i="29"/>
  <c r="E58" i="29"/>
  <c r="K58" i="29"/>
  <c r="L58" i="29"/>
  <c r="B59" i="29"/>
  <c r="E59" i="29" l="1"/>
  <c r="M59" i="29"/>
  <c r="C59" i="29"/>
  <c r="K59" i="29"/>
  <c r="G59" i="29"/>
  <c r="L59" i="29"/>
  <c r="D59" i="29"/>
  <c r="I59" i="29"/>
  <c r="J59" i="29"/>
  <c r="B60" i="29"/>
  <c r="F59" i="29"/>
  <c r="H59" i="29"/>
  <c r="I60" i="29" l="1"/>
  <c r="G60" i="29"/>
  <c r="E60" i="29"/>
  <c r="K60" i="29"/>
  <c r="F60" i="29"/>
  <c r="L60" i="29"/>
  <c r="M60" i="29"/>
  <c r="C60" i="29"/>
  <c r="D60" i="29"/>
  <c r="H60" i="29"/>
  <c r="B61" i="29"/>
  <c r="J60" i="29"/>
  <c r="E61" i="29" l="1"/>
  <c r="M61" i="29"/>
  <c r="C61" i="29"/>
  <c r="K61" i="29"/>
  <c r="D61" i="29"/>
  <c r="I61" i="29"/>
  <c r="H61" i="29"/>
  <c r="B62" i="29"/>
  <c r="J61" i="29"/>
  <c r="L61" i="29"/>
  <c r="F61" i="29"/>
  <c r="G61" i="29"/>
  <c r="I62" i="29" l="1"/>
  <c r="G62" i="29"/>
  <c r="C62" i="29"/>
  <c r="M62" i="29"/>
  <c r="H62" i="29"/>
  <c r="K62" i="29"/>
  <c r="D62" i="29"/>
  <c r="E62" i="29"/>
  <c r="F62" i="29"/>
  <c r="J62" i="29"/>
  <c r="L62" i="29"/>
  <c r="B63" i="29"/>
  <c r="E63" i="29" l="1"/>
  <c r="M63" i="29"/>
  <c r="C63" i="29"/>
  <c r="K63" i="29"/>
  <c r="L63" i="29"/>
  <c r="G63" i="29"/>
  <c r="B64" i="29"/>
  <c r="D63" i="29"/>
  <c r="F63" i="29"/>
  <c r="I63" i="29"/>
  <c r="J63" i="29"/>
  <c r="H63" i="29"/>
  <c r="I64" i="29" l="1"/>
  <c r="G64" i="29"/>
  <c r="K64" i="29"/>
  <c r="E64" i="29"/>
  <c r="B65" i="29"/>
  <c r="F64" i="29"/>
  <c r="H64" i="29"/>
  <c r="C64" i="29"/>
  <c r="D64" i="29"/>
  <c r="M64" i="29"/>
  <c r="J64" i="29"/>
  <c r="L64" i="29"/>
  <c r="G65" i="29" l="1"/>
  <c r="C65" i="29"/>
  <c r="K65" i="29"/>
  <c r="M65" i="29"/>
  <c r="F65" i="29"/>
  <c r="H65" i="29"/>
  <c r="E65" i="29"/>
  <c r="I65" i="29"/>
  <c r="J65" i="29"/>
  <c r="D65" i="29"/>
  <c r="L65" i="29"/>
  <c r="B66" i="29"/>
  <c r="C66" i="29" l="1"/>
  <c r="K66" i="29"/>
  <c r="G66" i="29"/>
  <c r="L66" i="29"/>
  <c r="E66" i="29"/>
  <c r="F66" i="29"/>
  <c r="J66" i="29"/>
  <c r="M66" i="29"/>
  <c r="B67" i="29"/>
  <c r="D66" i="29"/>
  <c r="H66" i="29"/>
  <c r="I66" i="29"/>
  <c r="G67" i="29" l="1"/>
  <c r="C67" i="29"/>
  <c r="K67" i="29"/>
  <c r="J67" i="29"/>
  <c r="D67" i="29"/>
  <c r="B68" i="29"/>
  <c r="E67" i="29"/>
  <c r="H67" i="29"/>
  <c r="I67" i="29"/>
  <c r="L67" i="29"/>
  <c r="M67" i="29"/>
  <c r="F67" i="29"/>
  <c r="C68" i="29" l="1"/>
  <c r="K68" i="29"/>
  <c r="G68" i="29"/>
  <c r="I68" i="29"/>
  <c r="M68" i="29"/>
  <c r="D68" i="29"/>
  <c r="B69" i="29"/>
  <c r="E68" i="29"/>
  <c r="F68" i="29"/>
  <c r="H68" i="29"/>
  <c r="J68" i="29"/>
  <c r="L68" i="29"/>
  <c r="G69" i="29" l="1"/>
  <c r="C69" i="29"/>
  <c r="K69" i="29"/>
  <c r="H69" i="29"/>
  <c r="L69" i="29"/>
  <c r="M69" i="29"/>
  <c r="I69" i="29"/>
  <c r="J69" i="29"/>
  <c r="B70" i="29"/>
  <c r="F69" i="29"/>
  <c r="D69" i="29"/>
  <c r="E69" i="29"/>
  <c r="C70" i="29" l="1"/>
  <c r="K70" i="29"/>
  <c r="G70" i="29"/>
  <c r="F70" i="29"/>
  <c r="J70" i="29"/>
  <c r="L70" i="29"/>
  <c r="B71" i="29"/>
  <c r="D70" i="29"/>
  <c r="E70" i="29"/>
  <c r="H70" i="29"/>
  <c r="I70" i="29"/>
  <c r="M70" i="29"/>
  <c r="G71" i="29" l="1"/>
  <c r="C71" i="29"/>
  <c r="K71" i="29"/>
  <c r="E71" i="29"/>
  <c r="I71" i="29"/>
  <c r="J71" i="29"/>
  <c r="D71" i="29"/>
  <c r="F71" i="29"/>
  <c r="M71" i="29"/>
  <c r="B72" i="29"/>
  <c r="H71" i="29"/>
  <c r="L71" i="29"/>
  <c r="C72" i="29" l="1"/>
  <c r="K72" i="29"/>
  <c r="G72" i="29"/>
  <c r="D72" i="29"/>
  <c r="B73" i="29"/>
  <c r="H72" i="29"/>
  <c r="I72" i="29"/>
  <c r="F72" i="29"/>
  <c r="J72" i="29"/>
  <c r="L72" i="29"/>
  <c r="E72" i="29"/>
  <c r="M72" i="29"/>
  <c r="G73" i="29" l="1"/>
  <c r="C73" i="29"/>
  <c r="K73" i="29"/>
  <c r="M73" i="29"/>
  <c r="F73" i="29"/>
  <c r="H73" i="29"/>
  <c r="B74" i="29"/>
  <c r="L73" i="29"/>
  <c r="D73" i="29"/>
  <c r="E73" i="29"/>
  <c r="I73" i="29"/>
  <c r="J73" i="29"/>
  <c r="C74" i="29" l="1"/>
  <c r="K74" i="29"/>
  <c r="G74" i="29"/>
  <c r="L74" i="29"/>
  <c r="E74" i="29"/>
  <c r="F74" i="29"/>
  <c r="D74" i="29"/>
  <c r="H74" i="29"/>
  <c r="I74" i="29"/>
  <c r="J74" i="29"/>
  <c r="M74" i="29"/>
  <c r="B75" i="29"/>
  <c r="G75" i="29" l="1"/>
  <c r="C75" i="29"/>
  <c r="K75" i="29"/>
  <c r="J75" i="29"/>
  <c r="D75" i="29"/>
  <c r="B76" i="29"/>
  <c r="E75" i="29"/>
  <c r="H75" i="29"/>
  <c r="I75" i="29"/>
  <c r="M75" i="29"/>
  <c r="F75" i="29"/>
  <c r="L75" i="29"/>
  <c r="C76" i="29" l="1"/>
  <c r="K76" i="29"/>
  <c r="G76" i="29"/>
  <c r="B77" i="29"/>
  <c r="I76" i="29"/>
  <c r="M76" i="29"/>
  <c r="D76" i="29"/>
  <c r="L76" i="29"/>
  <c r="E76" i="29"/>
  <c r="F76" i="29"/>
  <c r="H76" i="29"/>
  <c r="J76" i="29"/>
  <c r="F77" i="29" l="1"/>
  <c r="J77" i="29"/>
  <c r="G77" i="29"/>
  <c r="K77" i="29"/>
  <c r="L77" i="29"/>
  <c r="B78" i="29"/>
  <c r="E77" i="29"/>
  <c r="H77" i="29"/>
  <c r="I77" i="29"/>
  <c r="M77" i="29"/>
  <c r="C77" i="29"/>
  <c r="D77" i="29"/>
  <c r="I78" i="29" l="1"/>
  <c r="E78" i="29"/>
  <c r="D78" i="29"/>
  <c r="H78" i="29"/>
  <c r="J78" i="29"/>
  <c r="C78" i="29"/>
  <c r="M78" i="29"/>
  <c r="B79" i="29"/>
  <c r="F78" i="29"/>
  <c r="L78" i="29"/>
  <c r="G78" i="29"/>
  <c r="K78" i="29"/>
  <c r="D79" i="29" l="1"/>
  <c r="L79" i="29"/>
  <c r="J79" i="29"/>
  <c r="E79" i="29"/>
  <c r="F79" i="29"/>
  <c r="B80" i="29"/>
  <c r="C79" i="29"/>
  <c r="G79" i="29"/>
  <c r="H79" i="29"/>
  <c r="I79" i="29"/>
  <c r="K79" i="29"/>
  <c r="M79" i="29"/>
  <c r="G80" i="29" l="1"/>
  <c r="B81" i="29"/>
  <c r="F80" i="29"/>
  <c r="J80" i="29"/>
  <c r="K80" i="29"/>
  <c r="E80" i="29"/>
  <c r="H80" i="29"/>
  <c r="I80" i="29"/>
  <c r="L80" i="29"/>
  <c r="M80" i="29"/>
  <c r="C80" i="29"/>
  <c r="D80" i="29"/>
  <c r="J81" i="29" l="1"/>
  <c r="C81" i="29"/>
  <c r="L81" i="29"/>
  <c r="F81" i="29"/>
  <c r="B82" i="29"/>
  <c r="G81" i="29"/>
  <c r="H81" i="29"/>
  <c r="I81" i="29"/>
  <c r="D81" i="29"/>
  <c r="M81" i="29"/>
  <c r="E81" i="29"/>
  <c r="K81" i="29"/>
  <c r="E82" i="29" l="1"/>
  <c r="M82" i="29"/>
  <c r="H82" i="29"/>
  <c r="K82" i="29"/>
  <c r="C82" i="29"/>
  <c r="L82" i="29"/>
  <c r="I82" i="29"/>
  <c r="J82" i="29"/>
  <c r="D82" i="29"/>
  <c r="F82" i="29"/>
  <c r="G82" i="29"/>
  <c r="B83" i="29"/>
  <c r="H83" i="29" l="1"/>
  <c r="D83" i="29"/>
  <c r="M83" i="29"/>
  <c r="G83" i="29"/>
  <c r="I83" i="29"/>
  <c r="K83" i="29"/>
  <c r="L83" i="29"/>
  <c r="F83" i="29"/>
  <c r="J83" i="29"/>
  <c r="B84" i="29"/>
  <c r="E83" i="29"/>
  <c r="C83" i="29"/>
  <c r="C84" i="29" l="1"/>
  <c r="K84" i="29"/>
  <c r="I84" i="29"/>
  <c r="D84" i="29"/>
  <c r="M84" i="29"/>
  <c r="E84" i="29"/>
  <c r="L84" i="29"/>
  <c r="B85" i="29"/>
  <c r="F84" i="29"/>
  <c r="G84" i="29"/>
  <c r="H84" i="29"/>
  <c r="J84" i="29"/>
  <c r="F85" i="29" l="1"/>
  <c r="E85" i="29"/>
  <c r="B86" i="29"/>
  <c r="I85" i="29"/>
  <c r="J85" i="29"/>
  <c r="M85" i="29"/>
  <c r="C85" i="29"/>
  <c r="D85" i="29"/>
  <c r="G85" i="29"/>
  <c r="H85" i="29"/>
  <c r="K85" i="29"/>
  <c r="L85" i="29"/>
  <c r="I86" i="29" l="1"/>
  <c r="K86" i="29"/>
  <c r="E86" i="29"/>
  <c r="F86" i="29"/>
  <c r="B87" i="29"/>
  <c r="C86" i="29"/>
  <c r="H86" i="29"/>
  <c r="J86" i="29"/>
  <c r="L86" i="29"/>
  <c r="M86" i="29"/>
  <c r="G86" i="29"/>
  <c r="D86" i="29"/>
  <c r="D87" i="29" l="1"/>
  <c r="L87" i="29"/>
  <c r="G87" i="29"/>
  <c r="J87" i="29"/>
  <c r="K87" i="29"/>
  <c r="C87" i="29"/>
  <c r="E87" i="29"/>
  <c r="B88" i="29"/>
  <c r="F87" i="29"/>
  <c r="H87" i="29"/>
  <c r="I87" i="29"/>
  <c r="M87" i="29"/>
  <c r="G88" i="29" l="1"/>
  <c r="B89" i="29"/>
  <c r="C88" i="29"/>
  <c r="L88" i="29"/>
  <c r="F88" i="29"/>
  <c r="H88" i="29"/>
  <c r="D88" i="29"/>
  <c r="E88" i="29"/>
  <c r="I88" i="29"/>
  <c r="J88" i="29"/>
  <c r="K88" i="29"/>
  <c r="M88" i="29"/>
  <c r="J89" i="29" l="1"/>
  <c r="H89" i="29"/>
  <c r="C89" i="29"/>
  <c r="L89" i="29"/>
  <c r="D89" i="29"/>
  <c r="M89" i="29"/>
  <c r="F89" i="29"/>
  <c r="G89" i="29"/>
  <c r="I89" i="29"/>
  <c r="K89" i="29"/>
  <c r="B90" i="29"/>
  <c r="E89" i="29"/>
  <c r="E90" i="29" l="1"/>
  <c r="M90" i="29"/>
  <c r="D90" i="29"/>
  <c r="H90" i="29"/>
  <c r="I90" i="29"/>
  <c r="G90" i="29"/>
  <c r="J90" i="29"/>
  <c r="B91" i="29"/>
  <c r="C90" i="29"/>
  <c r="F90" i="29"/>
  <c r="L90" i="29"/>
  <c r="K90" i="29"/>
  <c r="H91" i="29" l="1"/>
  <c r="J91" i="29"/>
  <c r="D91" i="29"/>
  <c r="M91" i="29"/>
  <c r="G91" i="29"/>
  <c r="I91" i="29"/>
  <c r="C91" i="29"/>
  <c r="E91" i="29"/>
  <c r="F91" i="29"/>
  <c r="K91" i="29"/>
  <c r="L91" i="29"/>
  <c r="B92" i="29"/>
  <c r="C92" i="29" l="1"/>
  <c r="K92" i="29"/>
  <c r="F92" i="29"/>
  <c r="B93" i="29"/>
  <c r="I92" i="29"/>
  <c r="G92" i="29"/>
  <c r="H92" i="29"/>
  <c r="D92" i="29"/>
  <c r="E92" i="29"/>
  <c r="J92" i="29"/>
  <c r="L92" i="29"/>
  <c r="M92" i="29"/>
  <c r="F93" i="29" l="1"/>
  <c r="E93" i="29"/>
  <c r="B94" i="29"/>
  <c r="G93" i="29"/>
  <c r="H93" i="29"/>
  <c r="I93" i="29"/>
  <c r="J93" i="29"/>
  <c r="K93" i="29"/>
  <c r="L93" i="29"/>
  <c r="C93" i="29"/>
  <c r="M93" i="29"/>
  <c r="D93" i="29"/>
  <c r="I94" i="29" l="1"/>
  <c r="K94" i="29"/>
  <c r="D94" i="29"/>
  <c r="E94" i="29"/>
  <c r="B95" i="29"/>
  <c r="H94" i="29"/>
  <c r="J94" i="29"/>
  <c r="L94" i="29"/>
  <c r="M94" i="29"/>
  <c r="C94" i="29"/>
  <c r="F94" i="29"/>
  <c r="G94" i="29"/>
  <c r="D95" i="29" l="1"/>
  <c r="L95" i="29"/>
  <c r="G95" i="29"/>
  <c r="K95" i="29"/>
  <c r="M95" i="29"/>
  <c r="I95" i="29"/>
  <c r="J95" i="29"/>
  <c r="B96" i="29"/>
  <c r="F95" i="29"/>
  <c r="H95" i="29"/>
  <c r="C95" i="29"/>
  <c r="E95" i="29"/>
  <c r="G96" i="29" l="1"/>
  <c r="B97" i="29"/>
  <c r="H96" i="29"/>
  <c r="I96" i="29"/>
  <c r="J96" i="29"/>
  <c r="K96" i="29"/>
  <c r="L96" i="29"/>
  <c r="M96" i="29"/>
  <c r="C96" i="29"/>
  <c r="D96" i="29"/>
  <c r="E96" i="29"/>
  <c r="F96" i="29"/>
  <c r="J97" i="29" l="1"/>
  <c r="D97" i="29"/>
  <c r="M97" i="29"/>
  <c r="E97" i="29"/>
  <c r="H97" i="29"/>
  <c r="I97" i="29"/>
  <c r="K97" i="29"/>
  <c r="L97" i="29"/>
  <c r="F97" i="29"/>
  <c r="B98" i="29"/>
  <c r="C97" i="29"/>
  <c r="G97" i="29"/>
  <c r="E98" i="29" l="1"/>
  <c r="M98" i="29"/>
  <c r="I98" i="29"/>
  <c r="J98" i="29"/>
  <c r="G98" i="29"/>
  <c r="H98" i="29"/>
  <c r="K98" i="29"/>
  <c r="L98" i="29"/>
  <c r="C98" i="29"/>
  <c r="D98" i="29"/>
  <c r="F98" i="29"/>
  <c r="B99" i="29"/>
  <c r="H99" i="29" l="1"/>
  <c r="E99" i="29"/>
  <c r="F99" i="29"/>
  <c r="B100" i="29"/>
  <c r="G99" i="29"/>
  <c r="I99" i="29"/>
  <c r="J99" i="29"/>
  <c r="K99" i="29"/>
  <c r="C99" i="29"/>
  <c r="L99" i="29"/>
  <c r="M99" i="29"/>
  <c r="D99" i="29"/>
  <c r="C100" i="29" l="1"/>
  <c r="K100" i="29"/>
  <c r="J100" i="29"/>
  <c r="L100" i="29"/>
  <c r="F100" i="29"/>
  <c r="G100" i="29"/>
  <c r="H100" i="29"/>
  <c r="I100" i="29"/>
  <c r="B101" i="29"/>
  <c r="D100" i="29"/>
  <c r="E100" i="29"/>
  <c r="M100" i="29"/>
  <c r="F101" i="29" l="1"/>
  <c r="G101" i="29"/>
  <c r="H101" i="29"/>
  <c r="D101" i="29"/>
  <c r="E101" i="29"/>
  <c r="I101" i="29"/>
  <c r="J101" i="29"/>
  <c r="C101" i="29"/>
  <c r="K101" i="29"/>
  <c r="L101" i="29"/>
  <c r="M101" i="29"/>
  <c r="B102" i="29"/>
  <c r="I102" i="29" l="1"/>
  <c r="C102" i="29"/>
  <c r="L102" i="29"/>
  <c r="D102" i="29"/>
  <c r="M102" i="29"/>
  <c r="E102" i="29"/>
  <c r="F102" i="29"/>
  <c r="G102" i="29"/>
  <c r="H102" i="29"/>
  <c r="J102" i="29"/>
  <c r="B103" i="29"/>
  <c r="K102" i="29"/>
  <c r="D103" i="29" l="1"/>
  <c r="L103" i="29"/>
  <c r="H103" i="29"/>
  <c r="I103" i="29"/>
  <c r="C103" i="29"/>
  <c r="B104" i="29"/>
  <c r="E103" i="29"/>
  <c r="F103" i="29"/>
  <c r="G103" i="29"/>
  <c r="J103" i="29"/>
  <c r="K103" i="29"/>
  <c r="M103" i="29"/>
  <c r="G104" i="29" l="1"/>
  <c r="B105" i="29"/>
  <c r="D104" i="29"/>
  <c r="M104" i="29"/>
  <c r="E104" i="29"/>
  <c r="C104" i="29"/>
  <c r="F104" i="29"/>
  <c r="H104" i="29"/>
  <c r="J104" i="29"/>
  <c r="K104" i="29"/>
  <c r="I104" i="29"/>
  <c r="L104" i="29"/>
  <c r="J105" i="29" l="1"/>
  <c r="I105" i="29"/>
  <c r="K105" i="29"/>
  <c r="C105" i="29"/>
  <c r="D105" i="29"/>
  <c r="B106" i="29"/>
  <c r="E105" i="29"/>
  <c r="F105" i="29"/>
  <c r="G105" i="29"/>
  <c r="H105" i="29"/>
  <c r="L105" i="29"/>
  <c r="M105" i="29"/>
  <c r="E106" i="29" l="1"/>
  <c r="M106" i="29"/>
  <c r="F106" i="29"/>
  <c r="B107" i="29"/>
  <c r="G106" i="29"/>
  <c r="L106" i="29"/>
  <c r="C106" i="29"/>
  <c r="D106" i="29"/>
  <c r="J106" i="29"/>
  <c r="H106" i="29"/>
  <c r="K106" i="29"/>
  <c r="I106" i="29"/>
  <c r="H107" i="29" l="1"/>
  <c r="K107" i="29"/>
  <c r="C107" i="29"/>
  <c r="L107" i="29"/>
  <c r="M107" i="29"/>
  <c r="D107" i="29"/>
  <c r="B108" i="29"/>
  <c r="E107" i="29"/>
  <c r="F107" i="29"/>
  <c r="G107" i="29"/>
  <c r="I107" i="29"/>
  <c r="J107" i="29"/>
  <c r="C108" i="29" l="1"/>
  <c r="K108" i="29"/>
  <c r="G108" i="29"/>
  <c r="H108" i="29"/>
  <c r="L108" i="29"/>
  <c r="M108" i="29"/>
  <c r="D108" i="29"/>
  <c r="B109" i="29"/>
  <c r="J108" i="29"/>
  <c r="F108" i="29"/>
  <c r="E108" i="29"/>
  <c r="I108" i="29"/>
  <c r="F109" i="29" l="1"/>
  <c r="C109" i="29"/>
  <c r="L109" i="29"/>
  <c r="D109" i="29"/>
  <c r="M109" i="29"/>
  <c r="J109" i="29"/>
  <c r="K109" i="29"/>
  <c r="B110" i="29"/>
  <c r="E109" i="29"/>
  <c r="G109" i="29"/>
  <c r="H109" i="29"/>
  <c r="I109" i="29"/>
  <c r="I110" i="29" l="1"/>
  <c r="H110" i="29"/>
  <c r="J110" i="29"/>
  <c r="K110" i="29"/>
  <c r="L110" i="29"/>
  <c r="M110" i="29"/>
  <c r="C110" i="29"/>
  <c r="B111" i="29"/>
  <c r="D110" i="29"/>
  <c r="F110" i="29"/>
  <c r="E110" i="29"/>
  <c r="G110" i="29"/>
  <c r="D111" i="29" l="1"/>
  <c r="L111" i="29"/>
  <c r="E111" i="29"/>
  <c r="F111" i="29"/>
  <c r="B112" i="29"/>
  <c r="I111" i="29"/>
  <c r="J111" i="29"/>
  <c r="K111" i="29"/>
  <c r="M111" i="29"/>
  <c r="C111" i="29"/>
  <c r="G111" i="29"/>
  <c r="H111" i="29"/>
  <c r="G112" i="29" l="1"/>
  <c r="B113" i="29"/>
  <c r="J112" i="29"/>
  <c r="K112" i="29"/>
  <c r="H112" i="29"/>
  <c r="I112" i="29"/>
  <c r="L112" i="29"/>
  <c r="M112" i="29"/>
  <c r="E112" i="29"/>
  <c r="D112" i="29"/>
  <c r="F112" i="29"/>
  <c r="C112" i="29"/>
  <c r="F113" i="29" l="1"/>
  <c r="G113" i="29"/>
  <c r="B114" i="29"/>
  <c r="H113" i="29"/>
  <c r="I113" i="29"/>
  <c r="J113" i="29"/>
  <c r="K113" i="29"/>
  <c r="C113" i="29"/>
  <c r="L113" i="29"/>
  <c r="D113" i="29"/>
  <c r="E113" i="29"/>
  <c r="M113" i="29"/>
  <c r="I114" i="29" l="1"/>
  <c r="J114" i="29"/>
  <c r="E114" i="29"/>
  <c r="B115" i="29"/>
  <c r="F114" i="29"/>
  <c r="G114" i="29"/>
  <c r="H114" i="29"/>
  <c r="K114" i="29"/>
  <c r="L114" i="29"/>
  <c r="C114" i="29"/>
  <c r="M114" i="29"/>
  <c r="D114" i="29"/>
  <c r="D115" i="29" l="1"/>
  <c r="L115" i="29"/>
  <c r="E115" i="29"/>
  <c r="M115" i="29"/>
  <c r="C115" i="29"/>
  <c r="B116" i="29"/>
  <c r="F115" i="29"/>
  <c r="G115" i="29"/>
  <c r="K115" i="29"/>
  <c r="I115" i="29"/>
  <c r="H115" i="29"/>
  <c r="J115" i="29"/>
  <c r="H116" i="29" l="1"/>
  <c r="J116" i="29"/>
  <c r="K116" i="29"/>
  <c r="C116" i="29"/>
  <c r="L116" i="29"/>
  <c r="D116" i="29"/>
  <c r="M116" i="29"/>
  <c r="E116" i="29"/>
  <c r="F116" i="29"/>
  <c r="G116" i="29"/>
  <c r="I116" i="29"/>
  <c r="B117" i="29"/>
  <c r="C117" i="29" l="1"/>
  <c r="K117" i="29"/>
  <c r="F117" i="29"/>
  <c r="B118" i="29"/>
  <c r="G117" i="29"/>
  <c r="H117" i="29"/>
  <c r="I117" i="29"/>
  <c r="J117" i="29"/>
  <c r="L117" i="29"/>
  <c r="D117" i="29"/>
  <c r="E117" i="29"/>
  <c r="M117" i="29"/>
  <c r="F118" i="29" l="1"/>
  <c r="K118" i="29"/>
  <c r="C118" i="29"/>
  <c r="L118" i="29"/>
  <c r="D118" i="29"/>
  <c r="M118" i="29"/>
  <c r="E118" i="29"/>
  <c r="B119" i="29"/>
  <c r="H118" i="29"/>
  <c r="G118" i="29"/>
  <c r="I118" i="29"/>
  <c r="J118" i="29"/>
  <c r="I119" i="29" l="1"/>
  <c r="G119" i="29"/>
  <c r="H119" i="29"/>
  <c r="J119" i="29"/>
  <c r="K119" i="29"/>
  <c r="B120" i="29"/>
  <c r="C119" i="29"/>
  <c r="D119" i="29"/>
  <c r="L119" i="29"/>
  <c r="E119" i="29"/>
  <c r="F119" i="29"/>
  <c r="M119" i="29"/>
  <c r="D120" i="29" l="1"/>
  <c r="L120" i="29"/>
  <c r="C120" i="29"/>
  <c r="M120" i="29"/>
  <c r="E120" i="29"/>
  <c r="F120" i="29"/>
  <c r="B121" i="29"/>
  <c r="G120" i="29"/>
  <c r="H120" i="29"/>
  <c r="I120" i="29"/>
  <c r="J120" i="29"/>
  <c r="K120" i="29"/>
  <c r="G121" i="29" l="1"/>
  <c r="B122" i="29"/>
  <c r="I121" i="29"/>
  <c r="J121" i="29"/>
  <c r="K121" i="29"/>
  <c r="C121" i="29"/>
  <c r="L121" i="29"/>
  <c r="M121" i="29"/>
  <c r="E121" i="29"/>
  <c r="F121" i="29"/>
  <c r="H121" i="29"/>
  <c r="D121" i="29"/>
  <c r="J122" i="29" l="1"/>
  <c r="E122" i="29"/>
  <c r="F122" i="29"/>
  <c r="B123" i="29"/>
  <c r="G122" i="29"/>
  <c r="H122" i="29"/>
  <c r="I122" i="29"/>
  <c r="C122" i="29"/>
  <c r="D122" i="29"/>
  <c r="K122" i="29"/>
  <c r="L122" i="29"/>
  <c r="M122" i="29"/>
  <c r="E123" i="29" l="1"/>
  <c r="M123" i="29"/>
  <c r="J123" i="29"/>
  <c r="K123" i="29"/>
  <c r="C123" i="29"/>
  <c r="L123" i="29"/>
  <c r="D123" i="29"/>
  <c r="F123" i="29"/>
  <c r="G123" i="29"/>
  <c r="H123" i="29"/>
  <c r="I123" i="29"/>
  <c r="B124" i="29"/>
  <c r="H124" i="29" l="1"/>
  <c r="F124" i="29"/>
  <c r="B125" i="29"/>
  <c r="G124" i="29"/>
  <c r="I124" i="29"/>
  <c r="J124" i="29"/>
  <c r="E124" i="29"/>
  <c r="K124" i="29"/>
  <c r="L124" i="29"/>
  <c r="C124" i="29"/>
  <c r="D124" i="29"/>
  <c r="M124" i="29"/>
  <c r="C125" i="29" l="1"/>
  <c r="K125" i="29"/>
  <c r="L125" i="29"/>
  <c r="D125" i="29"/>
  <c r="M125" i="29"/>
  <c r="E125" i="29"/>
  <c r="F125" i="29"/>
  <c r="B126" i="29"/>
  <c r="G125" i="29"/>
  <c r="J125" i="29"/>
  <c r="H125" i="29"/>
  <c r="I125" i="29"/>
  <c r="F126" i="29" l="1"/>
  <c r="H126" i="29"/>
  <c r="I126" i="29"/>
  <c r="J126" i="29"/>
  <c r="K126" i="29"/>
  <c r="C126" i="29"/>
  <c r="D126" i="29"/>
  <c r="M126" i="29"/>
  <c r="E126" i="29"/>
  <c r="G126" i="29"/>
  <c r="L126" i="29"/>
</calcChain>
</file>

<file path=xl/sharedStrings.xml><?xml version="1.0" encoding="utf-8"?>
<sst xmlns="http://schemas.openxmlformats.org/spreadsheetml/2006/main" count="210" uniqueCount="101">
  <si>
    <t>FEB</t>
  </si>
  <si>
    <t>MAR</t>
  </si>
  <si>
    <t>APR</t>
  </si>
  <si>
    <t>MAY</t>
  </si>
  <si>
    <t>JUN</t>
  </si>
  <si>
    <t>JUL</t>
  </si>
  <si>
    <t>AUG</t>
  </si>
  <si>
    <t>SEP</t>
  </si>
  <si>
    <t>OCT</t>
  </si>
  <si>
    <t>NOV</t>
  </si>
  <si>
    <t>DEC</t>
  </si>
  <si>
    <t xml:space="preserve">Age of Vehicle    </t>
  </si>
  <si>
    <t>Factor</t>
  </si>
  <si>
    <t xml:space="preserve"> Age of Vehicle</t>
  </si>
  <si>
    <t xml:space="preserve">New  </t>
  </si>
  <si>
    <t xml:space="preserve">1 Year  </t>
  </si>
  <si>
    <t xml:space="preserve">2 Years </t>
  </si>
  <si>
    <t xml:space="preserve">2 Years  </t>
  </si>
  <si>
    <t xml:space="preserve">3 Years  </t>
  </si>
  <si>
    <t xml:space="preserve">4 Years  </t>
  </si>
  <si>
    <t xml:space="preserve">5 Years </t>
  </si>
  <si>
    <t xml:space="preserve">5 Years  </t>
  </si>
  <si>
    <t xml:space="preserve">6 Years  </t>
  </si>
  <si>
    <t xml:space="preserve">7 Years </t>
  </si>
  <si>
    <t xml:space="preserve">7 Years  </t>
  </si>
  <si>
    <t xml:space="preserve">8 Years </t>
  </si>
  <si>
    <t xml:space="preserve">8 Years  </t>
  </si>
  <si>
    <t xml:space="preserve">9 Years </t>
  </si>
  <si>
    <t xml:space="preserve">9 or more </t>
  </si>
  <si>
    <t xml:space="preserve">10 or more </t>
  </si>
  <si>
    <t>COUNTY</t>
  </si>
  <si>
    <t>CARSON CITY</t>
  </si>
  <si>
    <t>CHURCHILL</t>
  </si>
  <si>
    <t>CLARK</t>
  </si>
  <si>
    <t>DOUGLAS</t>
  </si>
  <si>
    <t>ELKO</t>
  </si>
  <si>
    <t>ESMERALDA</t>
  </si>
  <si>
    <t>EUREKA</t>
  </si>
  <si>
    <t>HUMBOLDT</t>
  </si>
  <si>
    <t>LANDER</t>
  </si>
  <si>
    <t>LINCOLN</t>
  </si>
  <si>
    <t>LYON</t>
  </si>
  <si>
    <t>MINERAL</t>
  </si>
  <si>
    <t>NYE</t>
  </si>
  <si>
    <t>PERSHING</t>
  </si>
  <si>
    <t>STOREY</t>
  </si>
  <si>
    <t>WASHOE</t>
  </si>
  <si>
    <t>WHITE PINE</t>
  </si>
  <si>
    <t>Full %</t>
  </si>
  <si>
    <t>OPC Chart</t>
  </si>
  <si>
    <t xml:space="preserve"> </t>
  </si>
  <si>
    <t>BGST CALCULATION:</t>
  </si>
  <si>
    <t>IF MSRP IS GREATER THAN THE COST LISTED ON THE NEVADA OPC TABLE:</t>
  </si>
  <si>
    <t>SGST CALCULATION:</t>
  </si>
  <si>
    <t>Factory (MSRP) Price Chart</t>
  </si>
  <si>
    <t xml:space="preserve">NEVADA SUGGESTED ORIGINAL PURCHASE COST (OPC) </t>
  </si>
  <si>
    <t>IF NEVADA ORIGINAL PURCHASE COST (OPC) TABLE IS GREATER THAN THE VEHICLE'S MSRP:</t>
  </si>
  <si>
    <r>
      <t>Use for all Power Units w/ declared  GVW  of 26,001 lbs or more in</t>
    </r>
    <r>
      <rPr>
        <b/>
        <sz val="8"/>
        <rFont val="Arial"/>
        <family val="2"/>
      </rPr>
      <t xml:space="preserve"> conjunction with the cost listed below on the Nevada Original Purchase Cost Table.</t>
    </r>
  </si>
  <si>
    <r>
      <t xml:space="preserve">Use for all Power Units with declared GVW of </t>
    </r>
    <r>
      <rPr>
        <b/>
        <sz val="8"/>
        <rFont val="Arial"/>
        <family val="2"/>
      </rPr>
      <t>10,000 lbs to 26,000 lbs</t>
    </r>
    <r>
      <rPr>
        <sz val="8"/>
        <rFont val="Arial"/>
        <family val="2"/>
      </rPr>
      <t xml:space="preserve"> and trailers with unladen wgt of </t>
    </r>
    <r>
      <rPr>
        <b/>
        <sz val="8"/>
        <rFont val="Arial"/>
        <family val="2"/>
      </rPr>
      <t>4,000 lbs or more; Use with MSRP for power units with GVW of 26,001 lbs or more, if MSRP is greater than amount listed on the OPC Chart</t>
    </r>
  </si>
  <si>
    <r>
      <t xml:space="preserve">All Power Units w/declared GVW of </t>
    </r>
    <r>
      <rPr>
        <b/>
        <sz val="8"/>
        <rFont val="Arial"/>
        <family val="2"/>
      </rPr>
      <t>9,999lbs or less &amp; trailers w/unladen wgt. of 3,999 lbs or less.</t>
    </r>
  </si>
  <si>
    <r>
      <t xml:space="preserve">Use for all Power Units w/declared GVW of 26,0001 lbs or more in </t>
    </r>
    <r>
      <rPr>
        <b/>
        <sz val="8"/>
        <rFont val="Arial"/>
        <family val="2"/>
      </rPr>
      <t>conjunction with the cost listed below on the Nevada Original Purchase Cost Table.</t>
    </r>
  </si>
  <si>
    <r>
      <t xml:space="preserve">All Power Units w/declared GVW of </t>
    </r>
    <r>
      <rPr>
        <b/>
        <sz val="8"/>
        <rFont val="Arial"/>
        <family val="2"/>
      </rPr>
      <t>9,999 lbs or less &amp; trailers w/unladen wgt of 3,999 lbs or less.</t>
    </r>
  </si>
  <si>
    <r>
      <t>Mid Year Vehicle Factors:</t>
    </r>
    <r>
      <rPr>
        <sz val="10"/>
        <rFont val="Arial"/>
        <family val="2"/>
      </rPr>
      <t xml:space="preserve"> For Vehicles being added during the year, multiply the GST X the corresponding month factor:</t>
    </r>
  </si>
  <si>
    <t>BUS</t>
  </si>
  <si>
    <t xml:space="preserve">Vehicles 26,001 lbs. OR MORE: </t>
  </si>
  <si>
    <t>Vehicles 26,000 lbs. OR LESS:</t>
  </si>
  <si>
    <t>SGST is charged on 100% vehicles based in Clark &amp; Churchill</t>
  </si>
  <si>
    <r>
      <t xml:space="preserve">NOTE: </t>
    </r>
    <r>
      <rPr>
        <sz val="12"/>
        <rFont val="Arial"/>
        <family val="2"/>
      </rPr>
      <t>A vehicle is considered "new" if it has never been previously registered, regardless of model year.</t>
    </r>
  </si>
  <si>
    <t>2 AXLES</t>
  </si>
  <si>
    <r>
      <t xml:space="preserve">Use for all Power Units with declared GVW of </t>
    </r>
    <r>
      <rPr>
        <b/>
        <sz val="8"/>
        <rFont val="Arial"/>
        <family val="2"/>
      </rPr>
      <t>10,000 lbs to 26,000 lbs</t>
    </r>
    <r>
      <rPr>
        <sz val="8"/>
        <rFont val="Arial"/>
        <family val="2"/>
      </rPr>
      <t xml:space="preserve"> and trailers with unladen wgt of </t>
    </r>
    <r>
      <rPr>
        <b/>
        <sz val="8"/>
        <rFont val="Arial"/>
        <family val="2"/>
      </rPr>
      <t>4,000 lbs or more; Use with MSRP for power units with GVW of 26,001 lbs or more, if MSRP is greater then the amount listed on the OPC Chart.</t>
    </r>
  </si>
  <si>
    <t>Please Note: Vehicles weighing less than 26,000 lbs. wherein the Factory Price / MSRP or OPC is not available, should be charged at 50 cents per pound based on the vehicles declared gross weight.  Basic Governmental Services Tax (BGST) should then be calculated using the Factory (MSRP) Price Chart</t>
  </si>
  <si>
    <t>Cost listed on the Nevada Original Purchase Cost (OPC) table X the corresponding tax factor, rounded to the nearest dollar = BGST; or the Factory Price (Manufacturers Suggested Retail Price / MSRP) if greater than the cost listed on the Nevada OPC table, X  the corresponding tax factor listed on the Factory Price (MSRP) chart, rounded to the nearest dollar = BGST
*Governmental Services Tax must be rounded to the nearest dollar or assessed at $16.00 (whichever is greater)  X (multiplied) by the Nevada Mileage Percentage  =  Apportioned Governmental Services Tax</t>
  </si>
  <si>
    <t>x</t>
  </si>
  <si>
    <t>=</t>
  </si>
  <si>
    <t>rounded to the nearest whole dollar=</t>
  </si>
  <si>
    <t>or</t>
  </si>
  <si>
    <t>for being added in May</t>
  </si>
  <si>
    <t>NV fee</t>
  </si>
  <si>
    <t>for a full year</t>
  </si>
  <si>
    <t>(Apportion Factor) if IRP</t>
  </si>
  <si>
    <t>if IRP=</t>
  </si>
  <si>
    <t>for a full year or</t>
  </si>
  <si>
    <t>for being added in March</t>
  </si>
  <si>
    <t>3 or MORE AXLES</t>
  </si>
  <si>
    <t xml:space="preserve">TRUCK/TRACTOR    </t>
  </si>
  <si>
    <t>1988 or older *</t>
  </si>
  <si>
    <t>Basic Governmental Services Tax (BGST)</t>
  </si>
  <si>
    <t>Supplemental Governmental Services Tax (Clark and Churchill only)</t>
  </si>
  <si>
    <t>Sales Tax Rates Effective                          1-1-2020:</t>
  </si>
  <si>
    <t xml:space="preserve">Factory Price (MSRP) rounded to the nearest dollar X corresponding weight tax factor, rounded to the nearest dollar  =  BGST. </t>
  </si>
  <si>
    <t>*Governmental Services Tax must be rounded to the nearest dollar or assessed at $16.00 (whichever is greater)  X (multiplied) by the Nevada Mileage Percentage  =  Apportioned Governmental Services Tax</t>
  </si>
  <si>
    <t>8,500 - 10,000</t>
  </si>
  <si>
    <t>6,000 - 8,499</t>
  </si>
  <si>
    <t>0 - 5,999</t>
  </si>
  <si>
    <t>Weight</t>
  </si>
  <si>
    <t>Months of Registration</t>
  </si>
  <si>
    <r>
      <t>Please Note:</t>
    </r>
    <r>
      <rPr>
        <sz val="10"/>
        <rFont val="Arial"/>
        <family val="2"/>
      </rPr>
      <t xml:space="preserve"> The total apportion fees are calculated based on the following formula: 
</t>
    </r>
    <r>
      <rPr>
        <b/>
        <sz val="10"/>
        <rFont val="Arial"/>
        <family val="2"/>
      </rPr>
      <t>(Weight Fee X Apportion Factor) + (GST X Apportion Factor)</t>
    </r>
    <r>
      <rPr>
        <sz val="10"/>
        <rFont val="Arial"/>
        <family val="2"/>
      </rPr>
      <t xml:space="preserve"> </t>
    </r>
    <r>
      <rPr>
        <sz val="10"/>
        <rFont val="Arial"/>
        <family val="2"/>
      </rPr>
      <t xml:space="preserve">
Fees should be noted separately on the Recap Sheet by both Clearinghouse and Non-Clearinghouse members.</t>
    </r>
  </si>
  <si>
    <r>
      <rPr>
        <b/>
        <sz val="10"/>
        <rFont val="Arial"/>
        <family val="2"/>
      </rPr>
      <t>2020</t>
    </r>
    <r>
      <rPr>
        <sz val="10"/>
        <rFont val="Arial"/>
        <family val="2"/>
      </rPr>
      <t xml:space="preserve">, 3 AXLE @ 80,000 LBS = </t>
    </r>
  </si>
  <si>
    <r>
      <rPr>
        <b/>
        <sz val="10"/>
        <rFont val="Arial"/>
        <family val="2"/>
      </rPr>
      <t>2020</t>
    </r>
    <r>
      <rPr>
        <sz val="10"/>
        <rFont val="Arial"/>
        <family val="2"/>
      </rPr>
      <t xml:space="preserve">, 3 AXLE @ 80,000 LBS, MSRP = </t>
    </r>
  </si>
  <si>
    <r>
      <t xml:space="preserve">The OPC chart is to be used as a </t>
    </r>
    <r>
      <rPr>
        <b/>
        <u/>
        <sz val="9"/>
        <rFont val="Arial"/>
        <family val="2"/>
      </rPr>
      <t>MINIMUM VALUE</t>
    </r>
    <r>
      <rPr>
        <sz val="9"/>
        <rFont val="Arial"/>
        <family val="2"/>
      </rPr>
      <t xml:space="preserve"> for vehicles with a GVW of 26,001 LBS or more.  If the factory price (MSRP) for vehicles with GVW of 26,001 LBS or more is greater than the amount listed on the table below, the factory price (MSRP) must be used.    </t>
    </r>
    <r>
      <rPr>
        <b/>
        <sz val="9"/>
        <rFont val="Arial"/>
        <family val="2"/>
      </rPr>
      <t xml:space="preserve"> * If vehicle is 1988 or older contact DMV Motor Carrier.</t>
    </r>
  </si>
  <si>
    <t>2024 - Governmental Services Taxes for Nevada Based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</si>
</sst>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00000"/>
    <numFmt numFmtId="165" formatCode="&quot;$&quot;#,##0"/>
  </numFmts>
  <fonts count="18" x14ac:knownFonts="1">
    <font>
      <sz val="10"/>
      <name val="Arial"/>
    </font>
    <font>
      <sz val="10"/>
      <name val="Arial"/>
      <family val="2"/>
    </font>
    <font>
      <sz val="8"/>
      <name val="Arial"/>
      <family val="2"/>
    </font>
    <font>
      <b/>
      <sz val="10"/>
      <name val="Arial"/>
      <family val="2"/>
    </font>
    <font>
      <b/>
      <sz val="12"/>
      <name val="Arial"/>
      <family val="2"/>
    </font>
    <font>
      <sz val="9"/>
      <name val="Arial"/>
      <family val="2"/>
    </font>
    <font>
      <b/>
      <u/>
      <sz val="9"/>
      <name val="Arial"/>
      <family val="2"/>
    </font>
    <font>
      <b/>
      <sz val="8"/>
      <name val="Arial"/>
      <family val="2"/>
    </font>
    <font>
      <sz val="11"/>
      <name val="Arial"/>
      <family val="2"/>
    </font>
    <font>
      <b/>
      <sz val="18"/>
      <name val="Arial"/>
      <family val="2"/>
    </font>
    <font>
      <sz val="18"/>
      <name val="Arial"/>
      <family val="2"/>
    </font>
    <font>
      <b/>
      <u/>
      <sz val="12"/>
      <name val="Arial"/>
      <family val="2"/>
    </font>
    <font>
      <u/>
      <sz val="10"/>
      <name val="Arial"/>
      <family val="2"/>
    </font>
    <font>
      <sz val="12"/>
      <name val="Arial"/>
      <family val="2"/>
    </font>
    <font>
      <b/>
      <i/>
      <sz val="10"/>
      <name val="Arial"/>
      <family val="2"/>
    </font>
    <font>
      <b/>
      <i/>
      <sz val="12"/>
      <name val="Arial"/>
      <family val="2"/>
    </font>
    <font>
      <b/>
      <i/>
      <sz val="9"/>
      <name val="Arial"/>
      <family val="2"/>
    </font>
    <font>
      <b/>
      <sz val="9"/>
      <name val="Arial"/>
      <family val="2"/>
    </font>
  </fonts>
  <fills count="4">
    <fill>
      <patternFill patternType="none"/>
    </fill>
    <fill>
      <patternFill patternType="gray125"/>
    </fill>
    <fill>
      <patternFill patternType="solid">
        <fgColor indexed="42"/>
        <bgColor indexed="64"/>
      </patternFill>
    </fill>
    <fill>
      <patternFill patternType="solid">
        <fgColor rgb="FF99FF99"/>
        <bgColor rgb="FF33CC33"/>
      </patternFill>
    </fill>
  </fills>
  <borders count="4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22">
    <xf numFmtId="0" fontId="0" fillId="0" borderId="0" xfId="0"/>
    <xf numFmtId="0" fontId="0" fillId="0" borderId="0" xfId="0" applyProtection="1">
      <protection locked="0"/>
    </xf>
    <xf numFmtId="49" fontId="0" fillId="0" borderId="0" xfId="0" applyNumberFormat="1" applyAlignment="1" applyProtection="1">
      <alignment horizontal="center"/>
      <protection locked="0"/>
    </xf>
    <xf numFmtId="164" fontId="0" fillId="0" borderId="0" xfId="0" applyNumberFormat="1" applyProtection="1">
      <protection locked="0"/>
    </xf>
    <xf numFmtId="0" fontId="0" fillId="0" borderId="1" xfId="0" applyBorder="1" applyProtection="1">
      <protection locked="0"/>
    </xf>
    <xf numFmtId="0" fontId="0" fillId="0" borderId="24" xfId="0" applyBorder="1" applyProtection="1">
      <protection locked="0"/>
    </xf>
    <xf numFmtId="0" fontId="0" fillId="0" borderId="9" xfId="0"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5" xfId="0" applyBorder="1" applyProtection="1">
      <protection locked="0"/>
    </xf>
    <xf numFmtId="0" fontId="3" fillId="0" borderId="23" xfId="0" applyFont="1" applyBorder="1" applyProtection="1">
      <protection locked="0"/>
    </xf>
    <xf numFmtId="0" fontId="3" fillId="0" borderId="1" xfId="0" applyFont="1" applyBorder="1" applyProtection="1">
      <protection locked="0"/>
    </xf>
    <xf numFmtId="164" fontId="0" fillId="0" borderId="4" xfId="0" applyNumberFormat="1" applyBorder="1" applyProtection="1">
      <protection locked="0"/>
    </xf>
    <xf numFmtId="49" fontId="0" fillId="0" borderId="4" xfId="0" applyNumberFormat="1" applyBorder="1" applyAlignment="1" applyProtection="1">
      <alignment horizontal="center"/>
      <protection locked="0"/>
    </xf>
    <xf numFmtId="164" fontId="0" fillId="0" borderId="24" xfId="0" applyNumberFormat="1" applyBorder="1" applyProtection="1">
      <protection locked="0"/>
    </xf>
    <xf numFmtId="49" fontId="0" fillId="0" borderId="24" xfId="0" applyNumberFormat="1" applyBorder="1" applyAlignment="1" applyProtection="1">
      <alignment horizontal="center"/>
      <protection locked="0"/>
    </xf>
    <xf numFmtId="0" fontId="3" fillId="0" borderId="24" xfId="0" applyFont="1" applyBorder="1" applyProtection="1">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3" fillId="0" borderId="0" xfId="0" applyFont="1" applyAlignment="1" applyProtection="1">
      <alignment horizontal="center"/>
      <protection locked="0"/>
    </xf>
    <xf numFmtId="0" fontId="0" fillId="0" borderId="3" xfId="0" applyBorder="1" applyAlignment="1" applyProtection="1">
      <alignment horizontal="center"/>
      <protection locked="0"/>
    </xf>
    <xf numFmtId="0" fontId="0" fillId="0" borderId="27" xfId="0" applyBorder="1" applyAlignment="1" applyProtection="1">
      <alignment horizontal="center"/>
      <protection locked="0"/>
    </xf>
    <xf numFmtId="164" fontId="0" fillId="0" borderId="27" xfId="0" applyNumberFormat="1" applyBorder="1" applyAlignment="1" applyProtection="1">
      <alignment horizontal="center"/>
      <protection locked="0"/>
    </xf>
    <xf numFmtId="164" fontId="0" fillId="0" borderId="28" xfId="0" applyNumberFormat="1" applyBorder="1" applyAlignment="1" applyProtection="1">
      <alignment horizontal="center"/>
      <protection locked="0"/>
    </xf>
    <xf numFmtId="0" fontId="0" fillId="0" borderId="26"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28" xfId="0" applyBorder="1" applyAlignment="1" applyProtection="1">
      <alignment horizontal="center"/>
      <protection locked="0"/>
    </xf>
    <xf numFmtId="164" fontId="0" fillId="0" borderId="0" xfId="0" applyNumberFormat="1" applyAlignment="1" applyProtection="1">
      <alignment horizontal="center"/>
      <protection locked="0"/>
    </xf>
    <xf numFmtId="0" fontId="0" fillId="0" borderId="20" xfId="0" applyBorder="1" applyAlignment="1" applyProtection="1">
      <alignment horizontal="center"/>
      <protection locked="0"/>
    </xf>
    <xf numFmtId="0" fontId="1" fillId="0" borderId="1" xfId="0" applyFont="1" applyBorder="1" applyProtection="1">
      <protection locked="0"/>
    </xf>
    <xf numFmtId="0" fontId="1" fillId="0" borderId="0" xfId="0" applyFont="1" applyAlignment="1">
      <alignment horizontal="center"/>
    </xf>
    <xf numFmtId="0" fontId="1" fillId="0" borderId="29" xfId="0" applyFont="1" applyBorder="1" applyProtection="1">
      <protection locked="0"/>
    </xf>
    <xf numFmtId="0" fontId="1" fillId="0" borderId="7" xfId="0" applyFont="1" applyBorder="1" applyProtection="1">
      <protection locked="0"/>
    </xf>
    <xf numFmtId="0" fontId="1" fillId="0" borderId="33" xfId="0" applyFont="1" applyBorder="1" applyAlignment="1" applyProtection="1">
      <alignment horizontal="center"/>
      <protection locked="0"/>
    </xf>
    <xf numFmtId="0" fontId="1" fillId="0" borderId="16" xfId="0" applyFont="1" applyBorder="1" applyProtection="1">
      <protection locked="0"/>
    </xf>
    <xf numFmtId="0" fontId="1" fillId="0" borderId="0" xfId="0" applyFont="1" applyProtection="1">
      <protection locked="0"/>
    </xf>
    <xf numFmtId="0" fontId="1" fillId="0" borderId="17" xfId="0" applyFont="1" applyBorder="1" applyAlignment="1" applyProtection="1">
      <alignment horizontal="center"/>
      <protection locked="0"/>
    </xf>
    <xf numFmtId="0" fontId="10" fillId="0" borderId="0" xfId="0" applyFont="1" applyAlignment="1" applyProtection="1">
      <alignment textRotation="90" wrapText="1"/>
      <protection locked="0"/>
    </xf>
    <xf numFmtId="0" fontId="10" fillId="0" borderId="0" xfId="0" applyFont="1" applyAlignment="1" applyProtection="1">
      <alignment horizontal="center" vertical="center" textRotation="90"/>
      <protection locked="0"/>
    </xf>
    <xf numFmtId="0" fontId="1" fillId="0" borderId="4" xfId="0" applyFont="1" applyBorder="1" applyProtection="1">
      <protection locked="0"/>
    </xf>
    <xf numFmtId="0" fontId="0" fillId="0" borderId="17" xfId="0" applyBorder="1" applyAlignment="1" applyProtection="1">
      <alignment horizontal="center"/>
      <protection locked="0"/>
    </xf>
    <xf numFmtId="1" fontId="1" fillId="0" borderId="0" xfId="0" applyNumberFormat="1" applyFont="1" applyAlignment="1" applyProtection="1">
      <alignment horizontal="center"/>
      <protection locked="0"/>
    </xf>
    <xf numFmtId="1" fontId="1" fillId="0" borderId="19" xfId="0" applyNumberFormat="1" applyFont="1" applyBorder="1" applyAlignment="1" applyProtection="1">
      <alignment horizontal="center"/>
      <protection locked="0"/>
    </xf>
    <xf numFmtId="0" fontId="0" fillId="0" borderId="2" xfId="0" applyBorder="1"/>
    <xf numFmtId="165" fontId="0" fillId="0" borderId="0" xfId="0" applyNumberFormat="1" applyAlignment="1" applyProtection="1">
      <alignment horizontal="left"/>
      <protection locked="0"/>
    </xf>
    <xf numFmtId="6" fontId="1" fillId="0" borderId="0" xfId="1" applyNumberFormat="1" applyFont="1" applyFill="1" applyBorder="1" applyAlignment="1" applyProtection="1">
      <alignment horizontal="left"/>
      <protection locked="0"/>
    </xf>
    <xf numFmtId="0" fontId="0" fillId="0" borderId="1" xfId="0" applyBorder="1" applyAlignment="1">
      <alignment horizontal="left"/>
    </xf>
    <xf numFmtId="0" fontId="0" fillId="0" borderId="1" xfId="0" applyBorder="1" applyAlignment="1" applyProtection="1">
      <alignment horizontal="left"/>
      <protection locked="0"/>
    </xf>
    <xf numFmtId="165" fontId="0" fillId="0" borderId="2" xfId="0" applyNumberFormat="1" applyBorder="1" applyAlignment="1" applyProtection="1">
      <alignment horizontal="left"/>
      <protection locked="0"/>
    </xf>
    <xf numFmtId="6" fontId="0" fillId="0" borderId="2" xfId="0" applyNumberFormat="1" applyBorder="1" applyAlignment="1" applyProtection="1">
      <alignment horizontal="left"/>
      <protection locked="0"/>
    </xf>
    <xf numFmtId="164" fontId="0" fillId="0" borderId="30" xfId="0" applyNumberFormat="1" applyBorder="1" applyAlignment="1" applyProtection="1">
      <alignment horizontal="center"/>
      <protection locked="0"/>
    </xf>
    <xf numFmtId="164" fontId="1" fillId="0" borderId="0" xfId="0" applyNumberFormat="1" applyFont="1" applyProtection="1">
      <protection locked="0"/>
    </xf>
    <xf numFmtId="164" fontId="1" fillId="0" borderId="4" xfId="0" applyNumberFormat="1" applyFont="1" applyBorder="1" applyProtection="1">
      <protection locked="0"/>
    </xf>
    <xf numFmtId="6" fontId="0" fillId="0" borderId="0" xfId="0" applyNumberFormat="1" applyAlignment="1" applyProtection="1">
      <alignment horizontal="left"/>
      <protection locked="0"/>
    </xf>
    <xf numFmtId="165" fontId="0" fillId="0" borderId="0" xfId="0" applyNumberFormat="1" applyAlignment="1">
      <alignment horizontal="left"/>
    </xf>
    <xf numFmtId="0" fontId="0" fillId="0" borderId="14" xfId="0" applyBorder="1" applyAlignment="1" applyProtection="1">
      <alignment horizontal="center"/>
      <protection locked="0"/>
    </xf>
    <xf numFmtId="164" fontId="0" fillId="0" borderId="31" xfId="0" applyNumberFormat="1" applyBorder="1" applyAlignment="1" applyProtection="1">
      <alignment horizontal="center"/>
      <protection locked="0"/>
    </xf>
    <xf numFmtId="1" fontId="1" fillId="0" borderId="14" xfId="0" applyNumberFormat="1" applyFont="1" applyBorder="1" applyAlignment="1" applyProtection="1">
      <alignment horizontal="center"/>
      <protection locked="0"/>
    </xf>
    <xf numFmtId="164" fontId="0" fillId="0" borderId="14" xfId="0" applyNumberFormat="1" applyBorder="1" applyAlignment="1" applyProtection="1">
      <alignment horizontal="center"/>
      <protection locked="0"/>
    </xf>
    <xf numFmtId="49" fontId="0" fillId="0" borderId="14" xfId="0" applyNumberFormat="1" applyBorder="1" applyAlignment="1" applyProtection="1">
      <alignment horizontal="center"/>
      <protection locked="0"/>
    </xf>
    <xf numFmtId="0" fontId="0" fillId="0" borderId="27" xfId="0" applyBorder="1" applyAlignment="1" applyProtection="1">
      <alignment horizontal="center" shrinkToFit="1"/>
      <protection locked="0"/>
    </xf>
    <xf numFmtId="0" fontId="0" fillId="0" borderId="14" xfId="0" applyBorder="1" applyAlignment="1" applyProtection="1">
      <alignment horizontal="center" shrinkToFit="1"/>
      <protection locked="0"/>
    </xf>
    <xf numFmtId="1" fontId="0" fillId="0" borderId="14" xfId="0" applyNumberFormat="1" applyBorder="1" applyAlignment="1" applyProtection="1">
      <alignment horizontal="center"/>
      <protection locked="0"/>
    </xf>
    <xf numFmtId="6" fontId="1" fillId="0" borderId="0" xfId="0" applyNumberFormat="1" applyFont="1" applyProtection="1">
      <protection locked="0"/>
    </xf>
    <xf numFmtId="8" fontId="0" fillId="0" borderId="0" xfId="0" applyNumberFormat="1" applyProtection="1">
      <protection locked="0"/>
    </xf>
    <xf numFmtId="0" fontId="3" fillId="0" borderId="0" xfId="0" applyFont="1" applyProtection="1">
      <protection locked="0"/>
    </xf>
    <xf numFmtId="0" fontId="1" fillId="0" borderId="0" xfId="0" applyFont="1" applyAlignment="1" applyProtection="1">
      <alignment horizontal="center"/>
      <protection locked="0"/>
    </xf>
    <xf numFmtId="8" fontId="1" fillId="0" borderId="1" xfId="0" applyNumberFormat="1" applyFont="1" applyBorder="1" applyProtection="1">
      <protection locked="0"/>
    </xf>
    <xf numFmtId="7" fontId="1" fillId="0" borderId="0" xfId="1" applyNumberFormat="1" applyFont="1" applyFill="1" applyBorder="1" applyProtection="1">
      <protection locked="0"/>
    </xf>
    <xf numFmtId="7" fontId="1" fillId="0" borderId="0" xfId="0" applyNumberFormat="1" applyFont="1" applyProtection="1">
      <protection locked="0"/>
    </xf>
    <xf numFmtId="7" fontId="0" fillId="0" borderId="0" xfId="0" applyNumberFormat="1" applyProtection="1">
      <protection locked="0"/>
    </xf>
    <xf numFmtId="0" fontId="1" fillId="0" borderId="1" xfId="0" applyFont="1" applyBorder="1" applyAlignment="1" applyProtection="1">
      <alignment horizontal="center"/>
      <protection locked="0"/>
    </xf>
    <xf numFmtId="164" fontId="1" fillId="0" borderId="0" xfId="0" applyNumberFormat="1" applyFont="1" applyAlignment="1" applyProtection="1">
      <alignment horizontal="center"/>
      <protection locked="0"/>
    </xf>
    <xf numFmtId="7" fontId="1" fillId="0" borderId="3" xfId="0" applyNumberFormat="1" applyFont="1" applyBorder="1" applyProtection="1">
      <protection locked="0"/>
    </xf>
    <xf numFmtId="7" fontId="1" fillId="0" borderId="4" xfId="0" applyNumberFormat="1" applyFont="1" applyBorder="1" applyProtection="1">
      <protection locked="0"/>
    </xf>
    <xf numFmtId="0" fontId="1" fillId="0" borderId="4" xfId="0" applyFont="1" applyBorder="1" applyAlignment="1" applyProtection="1">
      <alignment horizontal="center"/>
      <protection locked="0"/>
    </xf>
    <xf numFmtId="9" fontId="1" fillId="0" borderId="4" xfId="0"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9" fontId="1" fillId="0" borderId="0" xfId="0" applyNumberFormat="1" applyFont="1" applyAlignment="1" applyProtection="1">
      <alignment horizontal="center"/>
      <protection locked="0"/>
    </xf>
    <xf numFmtId="7" fontId="1" fillId="0" borderId="1" xfId="0" applyNumberFormat="1" applyFont="1" applyBorder="1" applyProtection="1">
      <protection locked="0"/>
    </xf>
    <xf numFmtId="0" fontId="5" fillId="0" borderId="41" xfId="0" applyFont="1" applyBorder="1" applyAlignment="1" applyProtection="1">
      <alignment horizontal="left"/>
      <protection locked="0"/>
    </xf>
    <xf numFmtId="0" fontId="5" fillId="0" borderId="42" xfId="0" applyFont="1" applyBorder="1" applyAlignment="1">
      <alignment horizontal="left"/>
    </xf>
    <xf numFmtId="165" fontId="5" fillId="0" borderId="42" xfId="0" applyNumberFormat="1" applyFont="1" applyBorder="1" applyAlignment="1" applyProtection="1">
      <alignment horizontal="left"/>
      <protection locked="0"/>
    </xf>
    <xf numFmtId="0" fontId="1" fillId="0" borderId="27"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0" fillId="0" borderId="21" xfId="0" applyBorder="1" applyAlignment="1" applyProtection="1">
      <alignment horizontal="center"/>
      <protection locked="0"/>
    </xf>
    <xf numFmtId="0" fontId="0" fillId="0" borderId="43" xfId="0" applyBorder="1" applyAlignment="1" applyProtection="1">
      <alignment horizontal="center"/>
      <protection locked="0"/>
    </xf>
    <xf numFmtId="0" fontId="1" fillId="0" borderId="44" xfId="0" applyFont="1" applyBorder="1" applyAlignment="1" applyProtection="1">
      <alignment horizontal="center"/>
      <protection locked="0"/>
    </xf>
    <xf numFmtId="0" fontId="4" fillId="0" borderId="0" xfId="0" applyFont="1"/>
    <xf numFmtId="0" fontId="0" fillId="0" borderId="0" xfId="0" applyAlignment="1">
      <alignment horizontal="centerContinuous"/>
    </xf>
    <xf numFmtId="0" fontId="4" fillId="0" borderId="0" xfId="0" applyFont="1" applyAlignment="1">
      <alignment horizontal="centerContinuous"/>
    </xf>
    <xf numFmtId="43" fontId="0" fillId="0" borderId="0" xfId="0" applyNumberFormat="1"/>
    <xf numFmtId="41" fontId="14" fillId="0" borderId="0" xfId="0" applyNumberFormat="1" applyFont="1"/>
    <xf numFmtId="4" fontId="0" fillId="0" borderId="21" xfId="0" applyNumberFormat="1" applyBorder="1"/>
    <xf numFmtId="41" fontId="14" fillId="0" borderId="21" xfId="0" applyNumberFormat="1" applyFont="1" applyBorder="1"/>
    <xf numFmtId="4" fontId="0" fillId="0" borderId="0" xfId="0" applyNumberFormat="1"/>
    <xf numFmtId="41" fontId="14" fillId="0" borderId="21" xfId="0" applyNumberFormat="1" applyFont="1" applyBorder="1" applyAlignment="1">
      <alignment horizontal="right"/>
    </xf>
    <xf numFmtId="4" fontId="0" fillId="0" borderId="45" xfId="0" applyNumberFormat="1" applyBorder="1"/>
    <xf numFmtId="4" fontId="0" fillId="0" borderId="46" xfId="0" applyNumberFormat="1" applyBorder="1"/>
    <xf numFmtId="41" fontId="14" fillId="0" borderId="46" xfId="0" applyNumberFormat="1" applyFont="1" applyBorder="1" applyAlignment="1">
      <alignment horizontal="right"/>
    </xf>
    <xf numFmtId="0" fontId="15" fillId="0" borderId="45" xfId="0" applyFont="1" applyBorder="1" applyAlignment="1">
      <alignment horizontal="center"/>
    </xf>
    <xf numFmtId="0" fontId="15" fillId="0" borderId="1" xfId="0" applyFont="1" applyBorder="1" applyAlignment="1">
      <alignment horizontal="center"/>
    </xf>
    <xf numFmtId="0" fontId="16" fillId="0" borderId="1" xfId="0" applyFont="1" applyBorder="1" applyAlignment="1">
      <alignment horizontal="center"/>
    </xf>
    <xf numFmtId="0" fontId="3" fillId="0" borderId="3" xfId="0" applyFont="1" applyBorder="1" applyProtection="1">
      <protection locked="0"/>
    </xf>
    <xf numFmtId="0" fontId="3" fillId="2" borderId="13" xfId="0" applyFont="1" applyFill="1" applyBorder="1" applyAlignment="1" applyProtection="1">
      <alignment horizontal="center" vertical="center" wrapText="1"/>
      <protection locked="0"/>
    </xf>
    <xf numFmtId="0" fontId="0" fillId="2" borderId="14" xfId="0" applyFill="1"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0" fontId="15" fillId="0" borderId="10" xfId="0" applyFont="1" applyBorder="1" applyAlignment="1">
      <alignment horizontal="center"/>
    </xf>
    <xf numFmtId="0" fontId="15" fillId="0" borderId="11" xfId="0" applyFont="1" applyBorder="1" applyAlignment="1">
      <alignment horizontal="center"/>
    </xf>
    <xf numFmtId="0" fontId="15" fillId="0" borderId="47" xfId="0" applyFont="1" applyBorder="1" applyAlignment="1">
      <alignment horizontal="center"/>
    </xf>
    <xf numFmtId="165" fontId="0" fillId="0" borderId="0" xfId="0" applyNumberFormat="1" applyAlignment="1">
      <alignment horizontal="center"/>
    </xf>
    <xf numFmtId="165" fontId="0" fillId="0" borderId="2" xfId="0" applyNumberFormat="1" applyBorder="1" applyAlignment="1">
      <alignment horizontal="center"/>
    </xf>
    <xf numFmtId="0" fontId="1" fillId="0" borderId="18" xfId="0" applyFont="1" applyBorder="1" applyProtection="1">
      <protection locked="0"/>
    </xf>
    <xf numFmtId="0" fontId="0" fillId="0" borderId="19" xfId="0" applyBorder="1"/>
    <xf numFmtId="0" fontId="1" fillId="0" borderId="14" xfId="0" applyFont="1" applyBorder="1" applyProtection="1">
      <protection locked="0"/>
    </xf>
    <xf numFmtId="0" fontId="0" fillId="0" borderId="14" xfId="0" applyBorder="1"/>
    <xf numFmtId="0" fontId="4" fillId="2" borderId="10" xfId="0" applyFont="1" applyFill="1" applyBorder="1" applyAlignment="1" applyProtection="1">
      <alignment horizontal="center" vertical="center" wrapText="1" readingOrder="1"/>
      <protection locked="0"/>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2" borderId="6" xfId="0" applyFont="1" applyFill="1" applyBorder="1" applyAlignment="1" applyProtection="1">
      <alignment horizontal="center"/>
      <protection locked="0"/>
    </xf>
    <xf numFmtId="0" fontId="0" fillId="2" borderId="7" xfId="0" applyFill="1" applyBorder="1"/>
    <xf numFmtId="0" fontId="0" fillId="2" borderId="8" xfId="0" applyFill="1" applyBorder="1"/>
    <xf numFmtId="0" fontId="3" fillId="2" borderId="23" xfId="0" applyFont="1" applyFill="1" applyBorder="1" applyAlignment="1" applyProtection="1">
      <alignment horizontal="center" vertical="center" wrapText="1"/>
      <protection locked="0"/>
    </xf>
    <xf numFmtId="0" fontId="0" fillId="2" borderId="24" xfId="0" applyFill="1" applyBorder="1"/>
    <xf numFmtId="0" fontId="0" fillId="2" borderId="9" xfId="0" applyFill="1" applyBorder="1"/>
    <xf numFmtId="0" fontId="0" fillId="2" borderId="3" xfId="0" applyFill="1" applyBorder="1"/>
    <xf numFmtId="0" fontId="0" fillId="2" borderId="4" xfId="0" applyFill="1" applyBorder="1"/>
    <xf numFmtId="0" fontId="0" fillId="2" borderId="5" xfId="0" applyFill="1" applyBorder="1"/>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0" xfId="0" applyFill="1" applyAlignment="1">
      <alignment horizontal="center" vertical="center" wrapText="1"/>
    </xf>
    <xf numFmtId="0" fontId="0" fillId="2" borderId="17" xfId="0" applyFill="1" applyBorder="1" applyAlignment="1">
      <alignment horizontal="center" vertical="center" wrapText="1"/>
    </xf>
    <xf numFmtId="0" fontId="0" fillId="2" borderId="20" xfId="0" applyFill="1" applyBorder="1" applyAlignment="1">
      <alignment horizontal="center" vertical="center" wrapText="1"/>
    </xf>
    <xf numFmtId="0" fontId="5" fillId="2" borderId="23" xfId="0"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25" xfId="0" applyFont="1" applyBorder="1" applyAlignment="1" applyProtection="1">
      <alignment horizontal="center"/>
      <protection locked="0"/>
    </xf>
    <xf numFmtId="165" fontId="0" fillId="0" borderId="0" xfId="0" applyNumberFormat="1" applyAlignment="1" applyProtection="1">
      <alignment horizontal="center" vertical="top"/>
      <protection locked="0"/>
    </xf>
    <xf numFmtId="165" fontId="0" fillId="0" borderId="2" xfId="0" applyNumberFormat="1" applyBorder="1" applyAlignment="1" applyProtection="1">
      <alignment horizontal="center" vertical="top"/>
      <protection locked="0"/>
    </xf>
    <xf numFmtId="6" fontId="0" fillId="0" borderId="0" xfId="0" applyNumberFormat="1" applyAlignment="1" applyProtection="1">
      <alignment horizontal="center"/>
      <protection locked="0"/>
    </xf>
    <xf numFmtId="6" fontId="0" fillId="0" borderId="2" xfId="0" applyNumberFormat="1" applyBorder="1" applyAlignment="1" applyProtection="1">
      <alignment horizontal="center"/>
      <protection locked="0"/>
    </xf>
    <xf numFmtId="6" fontId="0" fillId="0" borderId="0" xfId="0" applyNumberFormat="1" applyAlignment="1" applyProtection="1">
      <alignment horizontal="center" vertical="top"/>
      <protection locked="0"/>
    </xf>
    <xf numFmtId="6" fontId="0" fillId="0" borderId="2" xfId="0" applyNumberFormat="1" applyBorder="1" applyAlignment="1" applyProtection="1">
      <alignment horizontal="center" vertical="top"/>
      <protection locked="0"/>
    </xf>
    <xf numFmtId="0" fontId="5" fillId="0" borderId="28" xfId="0" applyFont="1" applyBorder="1" applyAlignment="1">
      <alignment horizontal="left"/>
    </xf>
    <xf numFmtId="0" fontId="0" fillId="0" borderId="29" xfId="0" applyBorder="1" applyAlignment="1" applyProtection="1">
      <alignment horizontal="center"/>
      <protection locked="0"/>
    </xf>
    <xf numFmtId="0" fontId="0" fillId="0" borderId="8" xfId="0" applyBorder="1" applyAlignment="1">
      <alignment horizontal="center"/>
    </xf>
    <xf numFmtId="0" fontId="0" fillId="0" borderId="6" xfId="0" applyBorder="1" applyAlignment="1" applyProtection="1">
      <alignment horizontal="center"/>
      <protection locked="0"/>
    </xf>
    <xf numFmtId="0" fontId="0" fillId="0" borderId="40" xfId="0" applyBorder="1" applyAlignment="1">
      <alignment horizontal="center"/>
    </xf>
    <xf numFmtId="0" fontId="2" fillId="0" borderId="16" xfId="0"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2" xfId="0" applyBorder="1" applyAlignment="1">
      <alignment horizontal="center" vertical="center" wrapText="1"/>
    </xf>
    <xf numFmtId="0" fontId="2" fillId="0" borderId="26" xfId="0" applyFont="1" applyBorder="1" applyAlignment="1" applyProtection="1">
      <alignment horizontal="center" vertical="center" wrapText="1"/>
      <protection locked="0"/>
    </xf>
    <xf numFmtId="0" fontId="0" fillId="0" borderId="27" xfId="0" applyBorder="1" applyAlignment="1">
      <alignment wrapText="1"/>
    </xf>
    <xf numFmtId="0" fontId="0" fillId="0" borderId="26" xfId="0" applyBorder="1" applyAlignment="1">
      <alignment wrapText="1"/>
    </xf>
    <xf numFmtId="0" fontId="0" fillId="0" borderId="37" xfId="0" applyBorder="1" applyAlignment="1">
      <alignment wrapText="1"/>
    </xf>
    <xf numFmtId="0" fontId="0" fillId="0" borderId="38" xfId="0" applyBorder="1" applyAlignment="1">
      <alignment wrapText="1"/>
    </xf>
    <xf numFmtId="0" fontId="2" fillId="0" borderId="27" xfId="0" applyFont="1" applyBorder="1" applyAlignment="1" applyProtection="1">
      <alignment horizontal="center" vertical="center" wrapText="1"/>
      <protection locked="0"/>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9" fillId="0" borderId="0" xfId="0" applyFont="1" applyAlignment="1" applyProtection="1">
      <alignment horizontal="center"/>
      <protection locked="0"/>
    </xf>
    <xf numFmtId="0" fontId="10" fillId="0" borderId="0" xfId="0" applyFont="1"/>
    <xf numFmtId="0" fontId="0" fillId="0" borderId="0" xfId="0"/>
    <xf numFmtId="0" fontId="11" fillId="2" borderId="23" xfId="0" applyFont="1" applyFill="1" applyBorder="1" applyAlignment="1" applyProtection="1">
      <alignment horizontal="center" vertical="center" wrapText="1"/>
      <protection locked="0"/>
    </xf>
    <xf numFmtId="0" fontId="12" fillId="2" borderId="24" xfId="0" applyFont="1" applyFill="1" applyBorder="1" applyAlignment="1">
      <alignment horizontal="center" vertical="center" wrapText="1"/>
    </xf>
    <xf numFmtId="0" fontId="12" fillId="2" borderId="1" xfId="0" applyFont="1" applyFill="1" applyBorder="1" applyAlignment="1">
      <alignment wrapText="1"/>
    </xf>
    <xf numFmtId="0" fontId="12" fillId="2" borderId="0" xfId="0" applyFont="1" applyFill="1" applyAlignment="1">
      <alignment wrapText="1"/>
    </xf>
    <xf numFmtId="0" fontId="8" fillId="0" borderId="24"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11" fillId="2" borderId="6"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wrapText="1"/>
    </xf>
    <xf numFmtId="0" fontId="12" fillId="2" borderId="6" xfId="0" applyFont="1" applyFill="1" applyBorder="1" applyAlignment="1">
      <alignment wrapText="1"/>
    </xf>
    <xf numFmtId="0" fontId="12" fillId="2" borderId="7" xfId="0" applyFont="1" applyFill="1" applyBorder="1" applyAlignment="1">
      <alignment wrapText="1"/>
    </xf>
    <xf numFmtId="0" fontId="3" fillId="0" borderId="23"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8" fillId="2" borderId="34" xfId="0" applyFont="1" applyFill="1" applyBorder="1" applyAlignment="1" applyProtection="1">
      <alignment horizontal="center"/>
      <protection locked="0"/>
    </xf>
    <xf numFmtId="0" fontId="8" fillId="2" borderId="35" xfId="0" applyFont="1" applyFill="1" applyBorder="1" applyAlignment="1" applyProtection="1">
      <alignment horizontal="center"/>
      <protection locked="0"/>
    </xf>
    <xf numFmtId="0" fontId="8" fillId="2" borderId="36" xfId="0" applyFont="1" applyFill="1" applyBorder="1" applyAlignment="1" applyProtection="1">
      <alignment horizontal="center"/>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wrapText="1"/>
    </xf>
    <xf numFmtId="0" fontId="3" fillId="3" borderId="19" xfId="0" applyFont="1" applyFill="1" applyBorder="1" applyAlignment="1">
      <alignment wrapText="1"/>
    </xf>
    <xf numFmtId="0" fontId="3" fillId="3" borderId="20" xfId="0" applyFont="1" applyFill="1" applyBorder="1" applyAlignment="1">
      <alignment wrapText="1"/>
    </xf>
    <xf numFmtId="0" fontId="0" fillId="0" borderId="40" xfId="0"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165" fontId="0" fillId="0" borderId="0" xfId="0" applyNumberFormat="1" applyAlignment="1" applyProtection="1">
      <alignment horizontal="center"/>
      <protection locked="0"/>
    </xf>
    <xf numFmtId="165" fontId="0" fillId="0" borderId="2" xfId="0" applyNumberFormat="1" applyBorder="1" applyAlignment="1" applyProtection="1">
      <alignment horizontal="center"/>
      <protection locked="0"/>
    </xf>
    <xf numFmtId="0" fontId="1" fillId="0" borderId="4"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colors>
    <mruColors>
      <color rgb="FF99FF99"/>
      <color rgb="FF33CC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applyStyles="1"/>
    <pageSetUpPr fitToPage="1"/>
  </sheetPr>
  <dimension ref="A1:N130"/>
  <sheetViews>
    <sheetView zoomScaleNormal="100" workbookViewId="0">
      <selection activeCell="D47" sqref="D47"/>
    </sheetView>
  </sheetViews>
  <sheetFormatPr defaultRowHeight="12.75" x14ac:dyDescent="0.2"/>
  <cols>
    <col min="1" max="1" width="13.7109375" customWidth="1"/>
    <col min="2" max="2" width="9.28515625" bestFit="1" customWidth="1"/>
    <col min="3" max="3" width="11.28515625" bestFit="1" customWidth="1"/>
    <col min="4" max="13" width="9.28515625" bestFit="1" customWidth="1"/>
  </cols>
  <sheetData>
    <row r="1" spans="1:13" ht="12.75" customHeight="1" x14ac:dyDescent="0.2">
      <c r="A1" s="107" t="s">
        <v>96</v>
      </c>
      <c r="B1" s="108"/>
      <c r="C1" s="108"/>
      <c r="D1" s="108"/>
      <c r="E1" s="108"/>
      <c r="F1" s="108"/>
      <c r="G1" s="108"/>
      <c r="H1" s="108"/>
      <c r="I1" s="108"/>
      <c r="J1" s="108"/>
      <c r="K1" s="108"/>
      <c r="L1" s="109"/>
      <c r="M1" s="110"/>
    </row>
    <row r="2" spans="1:13" ht="47.85" customHeight="1" thickBot="1" x14ac:dyDescent="0.25">
      <c r="A2" s="111"/>
      <c r="B2" s="112"/>
      <c r="C2" s="112"/>
      <c r="D2" s="112"/>
      <c r="E2" s="112"/>
      <c r="F2" s="112"/>
      <c r="G2" s="112"/>
      <c r="H2" s="112"/>
      <c r="I2" s="112"/>
      <c r="J2" s="112"/>
      <c r="K2" s="112"/>
      <c r="L2" s="113"/>
      <c r="M2" s="114"/>
    </row>
    <row r="3" spans="1:13" ht="15.95" customHeight="1" thickBot="1" x14ac:dyDescent="0.25">
      <c r="A3" s="105"/>
      <c r="B3" s="115" t="s">
        <v>95</v>
      </c>
      <c r="C3" s="116"/>
      <c r="D3" s="116"/>
      <c r="E3" s="116"/>
      <c r="F3" s="116"/>
      <c r="G3" s="116"/>
      <c r="H3" s="116"/>
      <c r="I3" s="116"/>
      <c r="J3" s="116"/>
      <c r="K3" s="116"/>
      <c r="L3" s="116"/>
      <c r="M3" s="117"/>
    </row>
    <row r="4" spans="1:13" ht="15.75" thickBot="1" x14ac:dyDescent="0.25">
      <c r="A4" s="104" t="s">
        <v>94</v>
      </c>
      <c r="B4" s="103">
        <v>12</v>
      </c>
      <c r="C4" s="103">
        <v>11</v>
      </c>
      <c r="D4" s="103">
        <v>10</v>
      </c>
      <c r="E4" s="103">
        <v>9</v>
      </c>
      <c r="F4" s="103">
        <v>8</v>
      </c>
      <c r="G4" s="103">
        <v>7</v>
      </c>
      <c r="H4" s="103">
        <v>6</v>
      </c>
      <c r="I4" s="103">
        <v>5</v>
      </c>
      <c r="J4" s="103">
        <v>4</v>
      </c>
      <c r="K4" s="103">
        <v>3</v>
      </c>
      <c r="L4" s="103">
        <v>2</v>
      </c>
      <c r="M4" s="103">
        <v>1</v>
      </c>
    </row>
    <row r="5" spans="1:13" x14ac:dyDescent="0.2">
      <c r="A5" s="102" t="s">
        <v>93</v>
      </c>
      <c r="B5" s="101">
        <v>33</v>
      </c>
      <c r="C5" s="100">
        <f t="shared" ref="C5:C36" si="0">SUM($B5/12)*11</f>
        <v>30.25</v>
      </c>
      <c r="D5" s="100">
        <f t="shared" ref="D5:D36" si="1">SUM($B5/12)*10</f>
        <v>27.5</v>
      </c>
      <c r="E5" s="100">
        <f t="shared" ref="E5:E36" si="2">SUM($B5/12)*9</f>
        <v>24.75</v>
      </c>
      <c r="F5" s="100">
        <f t="shared" ref="F5:F36" si="3">SUM($B5/12)*8</f>
        <v>22</v>
      </c>
      <c r="G5" s="100">
        <f t="shared" ref="G5:G36" si="4">SUM($B5/12)*7</f>
        <v>19.25</v>
      </c>
      <c r="H5" s="100">
        <f t="shared" ref="H5:H36" si="5">SUM($B5/12)*6</f>
        <v>16.5</v>
      </c>
      <c r="I5" s="100">
        <f t="shared" ref="I5:I36" si="6">SUM($B5/12)*5</f>
        <v>13.75</v>
      </c>
      <c r="J5" s="100">
        <f t="shared" ref="J5:J36" si="7">SUM($B5/12)*4</f>
        <v>11</v>
      </c>
      <c r="K5" s="100">
        <f t="shared" ref="K5:K36" si="8">SUM($B5/12)*3</f>
        <v>8.25</v>
      </c>
      <c r="L5" s="100">
        <f t="shared" ref="L5:L36" si="9">SUM($B5/12)*2</f>
        <v>5.5</v>
      </c>
      <c r="M5" s="100">
        <f t="shared" ref="M5:M36" si="10">SUM($B5/12)</f>
        <v>2.75</v>
      </c>
    </row>
    <row r="6" spans="1:13" x14ac:dyDescent="0.2">
      <c r="A6" s="99" t="s">
        <v>92</v>
      </c>
      <c r="B6" s="96">
        <v>38</v>
      </c>
      <c r="C6" s="96">
        <f t="shared" si="0"/>
        <v>34.83</v>
      </c>
      <c r="D6" s="96">
        <f t="shared" si="1"/>
        <v>31.67</v>
      </c>
      <c r="E6" s="96">
        <f t="shared" si="2"/>
        <v>28.5</v>
      </c>
      <c r="F6" s="96">
        <f t="shared" si="3"/>
        <v>25.33</v>
      </c>
      <c r="G6" s="96">
        <f t="shared" si="4"/>
        <v>22.17</v>
      </c>
      <c r="H6" s="96">
        <f t="shared" si="5"/>
        <v>19</v>
      </c>
      <c r="I6" s="96">
        <f t="shared" si="6"/>
        <v>15.83</v>
      </c>
      <c r="J6" s="96">
        <f t="shared" si="7"/>
        <v>12.67</v>
      </c>
      <c r="K6" s="96">
        <f t="shared" si="8"/>
        <v>9.5</v>
      </c>
      <c r="L6" s="96">
        <f t="shared" si="9"/>
        <v>6.33</v>
      </c>
      <c r="M6" s="96">
        <f t="shared" si="10"/>
        <v>3.17</v>
      </c>
    </row>
    <row r="7" spans="1:13" x14ac:dyDescent="0.2">
      <c r="A7" s="97" t="s">
        <v>91</v>
      </c>
      <c r="B7" s="96">
        <v>48</v>
      </c>
      <c r="C7" s="96">
        <f t="shared" si="0"/>
        <v>44</v>
      </c>
      <c r="D7" s="96">
        <f t="shared" si="1"/>
        <v>40</v>
      </c>
      <c r="E7" s="96">
        <f t="shared" si="2"/>
        <v>36</v>
      </c>
      <c r="F7" s="96">
        <f t="shared" si="3"/>
        <v>32</v>
      </c>
      <c r="G7" s="96">
        <f t="shared" si="4"/>
        <v>28</v>
      </c>
      <c r="H7" s="96">
        <f t="shared" si="5"/>
        <v>24</v>
      </c>
      <c r="I7" s="96">
        <f t="shared" si="6"/>
        <v>20</v>
      </c>
      <c r="J7" s="96">
        <f t="shared" si="7"/>
        <v>16</v>
      </c>
      <c r="K7" s="96">
        <f t="shared" si="8"/>
        <v>12</v>
      </c>
      <c r="L7" s="96">
        <f t="shared" si="9"/>
        <v>8</v>
      </c>
      <c r="M7" s="96">
        <f t="shared" si="10"/>
        <v>4</v>
      </c>
    </row>
    <row r="8" spans="1:13" x14ac:dyDescent="0.2">
      <c r="A8" s="97">
        <v>11000</v>
      </c>
      <c r="B8" s="96">
        <f>SUM(A8/1000*12)</f>
        <v>132</v>
      </c>
      <c r="C8" s="96">
        <f t="shared" si="0"/>
        <v>121</v>
      </c>
      <c r="D8" s="96">
        <f t="shared" si="1"/>
        <v>110</v>
      </c>
      <c r="E8" s="96">
        <f t="shared" si="2"/>
        <v>99</v>
      </c>
      <c r="F8" s="96">
        <f t="shared" si="3"/>
        <v>88</v>
      </c>
      <c r="G8" s="96">
        <f t="shared" si="4"/>
        <v>77</v>
      </c>
      <c r="H8" s="96">
        <f t="shared" si="5"/>
        <v>66</v>
      </c>
      <c r="I8" s="96">
        <f t="shared" si="6"/>
        <v>55</v>
      </c>
      <c r="J8" s="96">
        <f t="shared" si="7"/>
        <v>44</v>
      </c>
      <c r="K8" s="96">
        <f t="shared" si="8"/>
        <v>33</v>
      </c>
      <c r="L8" s="96">
        <f t="shared" si="9"/>
        <v>22</v>
      </c>
      <c r="M8" s="96">
        <f t="shared" si="10"/>
        <v>11</v>
      </c>
    </row>
    <row r="9" spans="1:13" x14ac:dyDescent="0.2">
      <c r="A9" s="97">
        <v>12000</v>
      </c>
      <c r="B9" s="96">
        <f t="shared" ref="B9:B23" si="11">SUM(B8+12)</f>
        <v>144</v>
      </c>
      <c r="C9" s="96">
        <f t="shared" si="0"/>
        <v>132</v>
      </c>
      <c r="D9" s="96">
        <f t="shared" si="1"/>
        <v>120</v>
      </c>
      <c r="E9" s="96">
        <f t="shared" si="2"/>
        <v>108</v>
      </c>
      <c r="F9" s="96">
        <f t="shared" si="3"/>
        <v>96</v>
      </c>
      <c r="G9" s="96">
        <f t="shared" si="4"/>
        <v>84</v>
      </c>
      <c r="H9" s="96">
        <f t="shared" si="5"/>
        <v>72</v>
      </c>
      <c r="I9" s="96">
        <f t="shared" si="6"/>
        <v>60</v>
      </c>
      <c r="J9" s="96">
        <f t="shared" si="7"/>
        <v>48</v>
      </c>
      <c r="K9" s="96">
        <f t="shared" si="8"/>
        <v>36</v>
      </c>
      <c r="L9" s="96">
        <f t="shared" si="9"/>
        <v>24</v>
      </c>
      <c r="M9" s="96">
        <f t="shared" si="10"/>
        <v>12</v>
      </c>
    </row>
    <row r="10" spans="1:13" x14ac:dyDescent="0.2">
      <c r="A10" s="97">
        <v>13000</v>
      </c>
      <c r="B10" s="96">
        <f t="shared" si="11"/>
        <v>156</v>
      </c>
      <c r="C10" s="96">
        <f t="shared" si="0"/>
        <v>143</v>
      </c>
      <c r="D10" s="96">
        <f t="shared" si="1"/>
        <v>130</v>
      </c>
      <c r="E10" s="96">
        <f t="shared" si="2"/>
        <v>117</v>
      </c>
      <c r="F10" s="96">
        <f t="shared" si="3"/>
        <v>104</v>
      </c>
      <c r="G10" s="96">
        <f t="shared" si="4"/>
        <v>91</v>
      </c>
      <c r="H10" s="96">
        <f t="shared" si="5"/>
        <v>78</v>
      </c>
      <c r="I10" s="96">
        <f t="shared" si="6"/>
        <v>65</v>
      </c>
      <c r="J10" s="96">
        <f t="shared" si="7"/>
        <v>52</v>
      </c>
      <c r="K10" s="96">
        <f t="shared" si="8"/>
        <v>39</v>
      </c>
      <c r="L10" s="96">
        <f t="shared" si="9"/>
        <v>26</v>
      </c>
      <c r="M10" s="96">
        <f t="shared" si="10"/>
        <v>13</v>
      </c>
    </row>
    <row r="11" spans="1:13" x14ac:dyDescent="0.2">
      <c r="A11" s="97">
        <v>14000</v>
      </c>
      <c r="B11" s="96">
        <f t="shared" si="11"/>
        <v>168</v>
      </c>
      <c r="C11" s="96">
        <f t="shared" si="0"/>
        <v>154</v>
      </c>
      <c r="D11" s="96">
        <f t="shared" si="1"/>
        <v>140</v>
      </c>
      <c r="E11" s="96">
        <f t="shared" si="2"/>
        <v>126</v>
      </c>
      <c r="F11" s="96">
        <f t="shared" si="3"/>
        <v>112</v>
      </c>
      <c r="G11" s="96">
        <f t="shared" si="4"/>
        <v>98</v>
      </c>
      <c r="H11" s="96">
        <f t="shared" si="5"/>
        <v>84</v>
      </c>
      <c r="I11" s="96">
        <f t="shared" si="6"/>
        <v>70</v>
      </c>
      <c r="J11" s="96">
        <f t="shared" si="7"/>
        <v>56</v>
      </c>
      <c r="K11" s="96">
        <f t="shared" si="8"/>
        <v>42</v>
      </c>
      <c r="L11" s="96">
        <f t="shared" si="9"/>
        <v>28</v>
      </c>
      <c r="M11" s="96">
        <f t="shared" si="10"/>
        <v>14</v>
      </c>
    </row>
    <row r="12" spans="1:13" x14ac:dyDescent="0.2">
      <c r="A12" s="97">
        <v>15000</v>
      </c>
      <c r="B12" s="96">
        <f t="shared" si="11"/>
        <v>180</v>
      </c>
      <c r="C12" s="96">
        <f t="shared" si="0"/>
        <v>165</v>
      </c>
      <c r="D12" s="96">
        <f t="shared" si="1"/>
        <v>150</v>
      </c>
      <c r="E12" s="96">
        <f t="shared" si="2"/>
        <v>135</v>
      </c>
      <c r="F12" s="96">
        <f t="shared" si="3"/>
        <v>120</v>
      </c>
      <c r="G12" s="96">
        <f t="shared" si="4"/>
        <v>105</v>
      </c>
      <c r="H12" s="96">
        <f t="shared" si="5"/>
        <v>90</v>
      </c>
      <c r="I12" s="96">
        <f t="shared" si="6"/>
        <v>75</v>
      </c>
      <c r="J12" s="96">
        <f t="shared" si="7"/>
        <v>60</v>
      </c>
      <c r="K12" s="96">
        <f t="shared" si="8"/>
        <v>45</v>
      </c>
      <c r="L12" s="96">
        <f t="shared" si="9"/>
        <v>30</v>
      </c>
      <c r="M12" s="96">
        <f t="shared" si="10"/>
        <v>15</v>
      </c>
    </row>
    <row r="13" spans="1:13" x14ac:dyDescent="0.2">
      <c r="A13" s="97">
        <v>16000</v>
      </c>
      <c r="B13" s="96">
        <f t="shared" si="11"/>
        <v>192</v>
      </c>
      <c r="C13" s="96">
        <f t="shared" si="0"/>
        <v>176</v>
      </c>
      <c r="D13" s="96">
        <f t="shared" si="1"/>
        <v>160</v>
      </c>
      <c r="E13" s="96">
        <f t="shared" si="2"/>
        <v>144</v>
      </c>
      <c r="F13" s="96">
        <f t="shared" si="3"/>
        <v>128</v>
      </c>
      <c r="G13" s="96">
        <f t="shared" si="4"/>
        <v>112</v>
      </c>
      <c r="H13" s="96">
        <f t="shared" si="5"/>
        <v>96</v>
      </c>
      <c r="I13" s="96">
        <f t="shared" si="6"/>
        <v>80</v>
      </c>
      <c r="J13" s="96">
        <f t="shared" si="7"/>
        <v>64</v>
      </c>
      <c r="K13" s="96">
        <f t="shared" si="8"/>
        <v>48</v>
      </c>
      <c r="L13" s="96">
        <f t="shared" si="9"/>
        <v>32</v>
      </c>
      <c r="M13" s="96">
        <f t="shared" si="10"/>
        <v>16</v>
      </c>
    </row>
    <row r="14" spans="1:13" x14ac:dyDescent="0.2">
      <c r="A14" s="97">
        <v>17000</v>
      </c>
      <c r="B14" s="96">
        <f t="shared" si="11"/>
        <v>204</v>
      </c>
      <c r="C14" s="96">
        <f t="shared" si="0"/>
        <v>187</v>
      </c>
      <c r="D14" s="96">
        <f t="shared" si="1"/>
        <v>170</v>
      </c>
      <c r="E14" s="96">
        <f t="shared" si="2"/>
        <v>153</v>
      </c>
      <c r="F14" s="96">
        <f t="shared" si="3"/>
        <v>136</v>
      </c>
      <c r="G14" s="96">
        <f t="shared" si="4"/>
        <v>119</v>
      </c>
      <c r="H14" s="96">
        <f t="shared" si="5"/>
        <v>102</v>
      </c>
      <c r="I14" s="96">
        <f t="shared" si="6"/>
        <v>85</v>
      </c>
      <c r="J14" s="96">
        <f t="shared" si="7"/>
        <v>68</v>
      </c>
      <c r="K14" s="96">
        <f t="shared" si="8"/>
        <v>51</v>
      </c>
      <c r="L14" s="96">
        <f t="shared" si="9"/>
        <v>34</v>
      </c>
      <c r="M14" s="96">
        <f t="shared" si="10"/>
        <v>17</v>
      </c>
    </row>
    <row r="15" spans="1:13" x14ac:dyDescent="0.2">
      <c r="A15" s="97">
        <v>18000</v>
      </c>
      <c r="B15" s="96">
        <f t="shared" si="11"/>
        <v>216</v>
      </c>
      <c r="C15" s="96">
        <f t="shared" si="0"/>
        <v>198</v>
      </c>
      <c r="D15" s="96">
        <f t="shared" si="1"/>
        <v>180</v>
      </c>
      <c r="E15" s="96">
        <f t="shared" si="2"/>
        <v>162</v>
      </c>
      <c r="F15" s="96">
        <f t="shared" si="3"/>
        <v>144</v>
      </c>
      <c r="G15" s="96">
        <f t="shared" si="4"/>
        <v>126</v>
      </c>
      <c r="H15" s="96">
        <f t="shared" si="5"/>
        <v>108</v>
      </c>
      <c r="I15" s="96">
        <f t="shared" si="6"/>
        <v>90</v>
      </c>
      <c r="J15" s="96">
        <f t="shared" si="7"/>
        <v>72</v>
      </c>
      <c r="K15" s="96">
        <f t="shared" si="8"/>
        <v>54</v>
      </c>
      <c r="L15" s="96">
        <f t="shared" si="9"/>
        <v>36</v>
      </c>
      <c r="M15" s="96">
        <f t="shared" si="10"/>
        <v>18</v>
      </c>
    </row>
    <row r="16" spans="1:13" x14ac:dyDescent="0.2">
      <c r="A16" s="97">
        <v>19000</v>
      </c>
      <c r="B16" s="96">
        <f t="shared" si="11"/>
        <v>228</v>
      </c>
      <c r="C16" s="96">
        <f t="shared" si="0"/>
        <v>209</v>
      </c>
      <c r="D16" s="96">
        <f t="shared" si="1"/>
        <v>190</v>
      </c>
      <c r="E16" s="96">
        <f t="shared" si="2"/>
        <v>171</v>
      </c>
      <c r="F16" s="96">
        <f t="shared" si="3"/>
        <v>152</v>
      </c>
      <c r="G16" s="96">
        <f t="shared" si="4"/>
        <v>133</v>
      </c>
      <c r="H16" s="96">
        <f t="shared" si="5"/>
        <v>114</v>
      </c>
      <c r="I16" s="96">
        <f t="shared" si="6"/>
        <v>95</v>
      </c>
      <c r="J16" s="96">
        <f t="shared" si="7"/>
        <v>76</v>
      </c>
      <c r="K16" s="96">
        <f t="shared" si="8"/>
        <v>57</v>
      </c>
      <c r="L16" s="96">
        <f t="shared" si="9"/>
        <v>38</v>
      </c>
      <c r="M16" s="96">
        <f t="shared" si="10"/>
        <v>19</v>
      </c>
    </row>
    <row r="17" spans="1:13" x14ac:dyDescent="0.2">
      <c r="A17" s="97">
        <v>20000</v>
      </c>
      <c r="B17" s="96">
        <f t="shared" si="11"/>
        <v>240</v>
      </c>
      <c r="C17" s="96">
        <f t="shared" si="0"/>
        <v>220</v>
      </c>
      <c r="D17" s="96">
        <f t="shared" si="1"/>
        <v>200</v>
      </c>
      <c r="E17" s="96">
        <f t="shared" si="2"/>
        <v>180</v>
      </c>
      <c r="F17" s="96">
        <f t="shared" si="3"/>
        <v>160</v>
      </c>
      <c r="G17" s="96">
        <f t="shared" si="4"/>
        <v>140</v>
      </c>
      <c r="H17" s="96">
        <f t="shared" si="5"/>
        <v>120</v>
      </c>
      <c r="I17" s="96">
        <f t="shared" si="6"/>
        <v>100</v>
      </c>
      <c r="J17" s="96">
        <f t="shared" si="7"/>
        <v>80</v>
      </c>
      <c r="K17" s="96">
        <f t="shared" si="8"/>
        <v>60</v>
      </c>
      <c r="L17" s="96">
        <f t="shared" si="9"/>
        <v>40</v>
      </c>
      <c r="M17" s="96">
        <f t="shared" si="10"/>
        <v>20</v>
      </c>
    </row>
    <row r="18" spans="1:13" x14ac:dyDescent="0.2">
      <c r="A18" s="97">
        <v>21000</v>
      </c>
      <c r="B18" s="96">
        <f t="shared" si="11"/>
        <v>252</v>
      </c>
      <c r="C18" s="96">
        <f t="shared" si="0"/>
        <v>231</v>
      </c>
      <c r="D18" s="96">
        <f t="shared" si="1"/>
        <v>210</v>
      </c>
      <c r="E18" s="96">
        <f t="shared" si="2"/>
        <v>189</v>
      </c>
      <c r="F18" s="96">
        <f t="shared" si="3"/>
        <v>168</v>
      </c>
      <c r="G18" s="96">
        <f t="shared" si="4"/>
        <v>147</v>
      </c>
      <c r="H18" s="96">
        <f t="shared" si="5"/>
        <v>126</v>
      </c>
      <c r="I18" s="96">
        <f t="shared" si="6"/>
        <v>105</v>
      </c>
      <c r="J18" s="96">
        <f t="shared" si="7"/>
        <v>84</v>
      </c>
      <c r="K18" s="96">
        <f t="shared" si="8"/>
        <v>63</v>
      </c>
      <c r="L18" s="96">
        <f t="shared" si="9"/>
        <v>42</v>
      </c>
      <c r="M18" s="96">
        <f t="shared" si="10"/>
        <v>21</v>
      </c>
    </row>
    <row r="19" spans="1:13" x14ac:dyDescent="0.2">
      <c r="A19" s="97">
        <v>22000</v>
      </c>
      <c r="B19" s="96">
        <f t="shared" si="11"/>
        <v>264</v>
      </c>
      <c r="C19" s="96">
        <f t="shared" si="0"/>
        <v>242</v>
      </c>
      <c r="D19" s="96">
        <f t="shared" si="1"/>
        <v>220</v>
      </c>
      <c r="E19" s="96">
        <f t="shared" si="2"/>
        <v>198</v>
      </c>
      <c r="F19" s="96">
        <f t="shared" si="3"/>
        <v>176</v>
      </c>
      <c r="G19" s="96">
        <f t="shared" si="4"/>
        <v>154</v>
      </c>
      <c r="H19" s="96">
        <f t="shared" si="5"/>
        <v>132</v>
      </c>
      <c r="I19" s="96">
        <f t="shared" si="6"/>
        <v>110</v>
      </c>
      <c r="J19" s="96">
        <f t="shared" si="7"/>
        <v>88</v>
      </c>
      <c r="K19" s="96">
        <f t="shared" si="8"/>
        <v>66</v>
      </c>
      <c r="L19" s="96">
        <f t="shared" si="9"/>
        <v>44</v>
      </c>
      <c r="M19" s="96">
        <f t="shared" si="10"/>
        <v>22</v>
      </c>
    </row>
    <row r="20" spans="1:13" x14ac:dyDescent="0.2">
      <c r="A20" s="97">
        <v>23000</v>
      </c>
      <c r="B20" s="96">
        <f t="shared" si="11"/>
        <v>276</v>
      </c>
      <c r="C20" s="96">
        <f t="shared" si="0"/>
        <v>253</v>
      </c>
      <c r="D20" s="96">
        <f t="shared" si="1"/>
        <v>230</v>
      </c>
      <c r="E20" s="96">
        <f t="shared" si="2"/>
        <v>207</v>
      </c>
      <c r="F20" s="96">
        <f t="shared" si="3"/>
        <v>184</v>
      </c>
      <c r="G20" s="96">
        <f t="shared" si="4"/>
        <v>161</v>
      </c>
      <c r="H20" s="96">
        <f t="shared" si="5"/>
        <v>138</v>
      </c>
      <c r="I20" s="96">
        <f t="shared" si="6"/>
        <v>115</v>
      </c>
      <c r="J20" s="96">
        <f t="shared" si="7"/>
        <v>92</v>
      </c>
      <c r="K20" s="96">
        <f t="shared" si="8"/>
        <v>69</v>
      </c>
      <c r="L20" s="96">
        <f t="shared" si="9"/>
        <v>46</v>
      </c>
      <c r="M20" s="96">
        <f t="shared" si="10"/>
        <v>23</v>
      </c>
    </row>
    <row r="21" spans="1:13" x14ac:dyDescent="0.2">
      <c r="A21" s="97">
        <v>24000</v>
      </c>
      <c r="B21" s="96">
        <f t="shared" si="11"/>
        <v>288</v>
      </c>
      <c r="C21" s="96">
        <f t="shared" si="0"/>
        <v>264</v>
      </c>
      <c r="D21" s="96">
        <f t="shared" si="1"/>
        <v>240</v>
      </c>
      <c r="E21" s="96">
        <f t="shared" si="2"/>
        <v>216</v>
      </c>
      <c r="F21" s="96">
        <f t="shared" si="3"/>
        <v>192</v>
      </c>
      <c r="G21" s="96">
        <f t="shared" si="4"/>
        <v>168</v>
      </c>
      <c r="H21" s="96">
        <f t="shared" si="5"/>
        <v>144</v>
      </c>
      <c r="I21" s="96">
        <f t="shared" si="6"/>
        <v>120</v>
      </c>
      <c r="J21" s="96">
        <f t="shared" si="7"/>
        <v>96</v>
      </c>
      <c r="K21" s="96">
        <f t="shared" si="8"/>
        <v>72</v>
      </c>
      <c r="L21" s="96">
        <f t="shared" si="9"/>
        <v>48</v>
      </c>
      <c r="M21" s="96">
        <f t="shared" si="10"/>
        <v>24</v>
      </c>
    </row>
    <row r="22" spans="1:13" x14ac:dyDescent="0.2">
      <c r="A22" s="97">
        <v>25000</v>
      </c>
      <c r="B22" s="96">
        <f t="shared" si="11"/>
        <v>300</v>
      </c>
      <c r="C22" s="96">
        <f t="shared" si="0"/>
        <v>275</v>
      </c>
      <c r="D22" s="96">
        <f t="shared" si="1"/>
        <v>250</v>
      </c>
      <c r="E22" s="96">
        <f t="shared" si="2"/>
        <v>225</v>
      </c>
      <c r="F22" s="96">
        <f t="shared" si="3"/>
        <v>200</v>
      </c>
      <c r="G22" s="96">
        <f t="shared" si="4"/>
        <v>175</v>
      </c>
      <c r="H22" s="96">
        <f t="shared" si="5"/>
        <v>150</v>
      </c>
      <c r="I22" s="96">
        <f t="shared" si="6"/>
        <v>125</v>
      </c>
      <c r="J22" s="96">
        <f t="shared" si="7"/>
        <v>100</v>
      </c>
      <c r="K22" s="96">
        <f t="shared" si="8"/>
        <v>75</v>
      </c>
      <c r="L22" s="96">
        <f t="shared" si="9"/>
        <v>50</v>
      </c>
      <c r="M22" s="96">
        <f t="shared" si="10"/>
        <v>25</v>
      </c>
    </row>
    <row r="23" spans="1:13" x14ac:dyDescent="0.2">
      <c r="A23" s="97">
        <v>26000</v>
      </c>
      <c r="B23" s="96">
        <f t="shared" si="11"/>
        <v>312</v>
      </c>
      <c r="C23" s="96">
        <f t="shared" si="0"/>
        <v>286</v>
      </c>
      <c r="D23" s="96">
        <f t="shared" si="1"/>
        <v>260</v>
      </c>
      <c r="E23" s="96">
        <f t="shared" si="2"/>
        <v>234</v>
      </c>
      <c r="F23" s="96">
        <f t="shared" si="3"/>
        <v>208</v>
      </c>
      <c r="G23" s="96">
        <f t="shared" si="4"/>
        <v>182</v>
      </c>
      <c r="H23" s="96">
        <f t="shared" si="5"/>
        <v>156</v>
      </c>
      <c r="I23" s="96">
        <f t="shared" si="6"/>
        <v>130</v>
      </c>
      <c r="J23" s="96">
        <f t="shared" si="7"/>
        <v>104</v>
      </c>
      <c r="K23" s="96">
        <f t="shared" si="8"/>
        <v>78</v>
      </c>
      <c r="L23" s="96">
        <f t="shared" si="9"/>
        <v>52</v>
      </c>
      <c r="M23" s="96">
        <f t="shared" si="10"/>
        <v>26</v>
      </c>
    </row>
    <row r="24" spans="1:13" x14ac:dyDescent="0.2">
      <c r="A24" s="97">
        <v>27000</v>
      </c>
      <c r="B24" s="96">
        <f>SUM(A24/1000*17)</f>
        <v>459</v>
      </c>
      <c r="C24" s="96">
        <f t="shared" si="0"/>
        <v>420.75</v>
      </c>
      <c r="D24" s="96">
        <f t="shared" si="1"/>
        <v>382.5</v>
      </c>
      <c r="E24" s="96">
        <f t="shared" si="2"/>
        <v>344.25</v>
      </c>
      <c r="F24" s="96">
        <f t="shared" si="3"/>
        <v>306</v>
      </c>
      <c r="G24" s="96">
        <f t="shared" si="4"/>
        <v>267.75</v>
      </c>
      <c r="H24" s="96">
        <f t="shared" si="5"/>
        <v>229.5</v>
      </c>
      <c r="I24" s="96">
        <f t="shared" si="6"/>
        <v>191.25</v>
      </c>
      <c r="J24" s="96">
        <f t="shared" si="7"/>
        <v>153</v>
      </c>
      <c r="K24" s="96">
        <f t="shared" si="8"/>
        <v>114.75</v>
      </c>
      <c r="L24" s="96">
        <f t="shared" si="9"/>
        <v>76.5</v>
      </c>
      <c r="M24" s="96">
        <f t="shared" si="10"/>
        <v>38.25</v>
      </c>
    </row>
    <row r="25" spans="1:13" x14ac:dyDescent="0.2">
      <c r="A25" s="97">
        <v>28000</v>
      </c>
      <c r="B25" s="96">
        <f t="shared" ref="B25:B56" si="12">SUM(B24+17)</f>
        <v>476</v>
      </c>
      <c r="C25" s="96">
        <f t="shared" si="0"/>
        <v>436.33</v>
      </c>
      <c r="D25" s="96">
        <f t="shared" si="1"/>
        <v>396.67</v>
      </c>
      <c r="E25" s="96">
        <f t="shared" si="2"/>
        <v>357</v>
      </c>
      <c r="F25" s="96">
        <f t="shared" si="3"/>
        <v>317.33</v>
      </c>
      <c r="G25" s="96">
        <f t="shared" si="4"/>
        <v>277.67</v>
      </c>
      <c r="H25" s="96">
        <f t="shared" si="5"/>
        <v>238</v>
      </c>
      <c r="I25" s="96">
        <f t="shared" si="6"/>
        <v>198.33</v>
      </c>
      <c r="J25" s="96">
        <f t="shared" si="7"/>
        <v>158.66999999999999</v>
      </c>
      <c r="K25" s="96">
        <f t="shared" si="8"/>
        <v>119</v>
      </c>
      <c r="L25" s="96">
        <f t="shared" si="9"/>
        <v>79.33</v>
      </c>
      <c r="M25" s="96">
        <f t="shared" si="10"/>
        <v>39.67</v>
      </c>
    </row>
    <row r="26" spans="1:13" x14ac:dyDescent="0.2">
      <c r="A26" s="97">
        <v>29000</v>
      </c>
      <c r="B26" s="96">
        <f t="shared" si="12"/>
        <v>493</v>
      </c>
      <c r="C26" s="96">
        <f t="shared" si="0"/>
        <v>451.92</v>
      </c>
      <c r="D26" s="96">
        <f t="shared" si="1"/>
        <v>410.83</v>
      </c>
      <c r="E26" s="96">
        <f t="shared" si="2"/>
        <v>369.75</v>
      </c>
      <c r="F26" s="96">
        <f t="shared" si="3"/>
        <v>328.67</v>
      </c>
      <c r="G26" s="96">
        <f t="shared" si="4"/>
        <v>287.58</v>
      </c>
      <c r="H26" s="96">
        <f t="shared" si="5"/>
        <v>246.5</v>
      </c>
      <c r="I26" s="96">
        <f t="shared" si="6"/>
        <v>205.42</v>
      </c>
      <c r="J26" s="96">
        <f t="shared" si="7"/>
        <v>164.33</v>
      </c>
      <c r="K26" s="96">
        <f t="shared" si="8"/>
        <v>123.25</v>
      </c>
      <c r="L26" s="96">
        <f t="shared" si="9"/>
        <v>82.17</v>
      </c>
      <c r="M26" s="96">
        <f t="shared" si="10"/>
        <v>41.08</v>
      </c>
    </row>
    <row r="27" spans="1:13" x14ac:dyDescent="0.2">
      <c r="A27" s="97">
        <v>30000</v>
      </c>
      <c r="B27" s="96">
        <f t="shared" si="12"/>
        <v>510</v>
      </c>
      <c r="C27" s="96">
        <f t="shared" si="0"/>
        <v>467.5</v>
      </c>
      <c r="D27" s="96">
        <f t="shared" si="1"/>
        <v>425</v>
      </c>
      <c r="E27" s="96">
        <f t="shared" si="2"/>
        <v>382.5</v>
      </c>
      <c r="F27" s="96">
        <f t="shared" si="3"/>
        <v>340</v>
      </c>
      <c r="G27" s="96">
        <f t="shared" si="4"/>
        <v>297.5</v>
      </c>
      <c r="H27" s="96">
        <f t="shared" si="5"/>
        <v>255</v>
      </c>
      <c r="I27" s="96">
        <f t="shared" si="6"/>
        <v>212.5</v>
      </c>
      <c r="J27" s="96">
        <f t="shared" si="7"/>
        <v>170</v>
      </c>
      <c r="K27" s="96">
        <f t="shared" si="8"/>
        <v>127.5</v>
      </c>
      <c r="L27" s="96">
        <f t="shared" si="9"/>
        <v>85</v>
      </c>
      <c r="M27" s="96">
        <f t="shared" si="10"/>
        <v>42.5</v>
      </c>
    </row>
    <row r="28" spans="1:13" x14ac:dyDescent="0.2">
      <c r="A28" s="97">
        <v>31000</v>
      </c>
      <c r="B28" s="96">
        <f t="shared" si="12"/>
        <v>527</v>
      </c>
      <c r="C28" s="96">
        <f t="shared" si="0"/>
        <v>483.08</v>
      </c>
      <c r="D28" s="96">
        <f t="shared" si="1"/>
        <v>439.17</v>
      </c>
      <c r="E28" s="96">
        <f t="shared" si="2"/>
        <v>395.25</v>
      </c>
      <c r="F28" s="96">
        <f t="shared" si="3"/>
        <v>351.33</v>
      </c>
      <c r="G28" s="96">
        <f t="shared" si="4"/>
        <v>307.42</v>
      </c>
      <c r="H28" s="96">
        <f t="shared" si="5"/>
        <v>263.5</v>
      </c>
      <c r="I28" s="96">
        <f t="shared" si="6"/>
        <v>219.58</v>
      </c>
      <c r="J28" s="96">
        <f t="shared" si="7"/>
        <v>175.67</v>
      </c>
      <c r="K28" s="96">
        <f t="shared" si="8"/>
        <v>131.75</v>
      </c>
      <c r="L28" s="96">
        <f t="shared" si="9"/>
        <v>87.83</v>
      </c>
      <c r="M28" s="96">
        <f t="shared" si="10"/>
        <v>43.92</v>
      </c>
    </row>
    <row r="29" spans="1:13" x14ac:dyDescent="0.2">
      <c r="A29" s="97">
        <v>32000</v>
      </c>
      <c r="B29" s="96">
        <f t="shared" si="12"/>
        <v>544</v>
      </c>
      <c r="C29" s="96">
        <f t="shared" si="0"/>
        <v>498.67</v>
      </c>
      <c r="D29" s="96">
        <f t="shared" si="1"/>
        <v>453.33</v>
      </c>
      <c r="E29" s="96">
        <f t="shared" si="2"/>
        <v>408</v>
      </c>
      <c r="F29" s="96">
        <f t="shared" si="3"/>
        <v>362.67</v>
      </c>
      <c r="G29" s="96">
        <f t="shared" si="4"/>
        <v>317.33</v>
      </c>
      <c r="H29" s="96">
        <f t="shared" si="5"/>
        <v>272</v>
      </c>
      <c r="I29" s="96">
        <f t="shared" si="6"/>
        <v>226.67</v>
      </c>
      <c r="J29" s="96">
        <f t="shared" si="7"/>
        <v>181.33</v>
      </c>
      <c r="K29" s="96">
        <f t="shared" si="8"/>
        <v>136</v>
      </c>
      <c r="L29" s="96">
        <f t="shared" si="9"/>
        <v>90.67</v>
      </c>
      <c r="M29" s="96">
        <f t="shared" si="10"/>
        <v>45.33</v>
      </c>
    </row>
    <row r="30" spans="1:13" x14ac:dyDescent="0.2">
      <c r="A30" s="97">
        <v>33000</v>
      </c>
      <c r="B30" s="96">
        <f t="shared" si="12"/>
        <v>561</v>
      </c>
      <c r="C30" s="96">
        <f t="shared" si="0"/>
        <v>514.25</v>
      </c>
      <c r="D30" s="96">
        <f t="shared" si="1"/>
        <v>467.5</v>
      </c>
      <c r="E30" s="96">
        <f t="shared" si="2"/>
        <v>420.75</v>
      </c>
      <c r="F30" s="96">
        <f t="shared" si="3"/>
        <v>374</v>
      </c>
      <c r="G30" s="96">
        <f t="shared" si="4"/>
        <v>327.25</v>
      </c>
      <c r="H30" s="96">
        <f t="shared" si="5"/>
        <v>280.5</v>
      </c>
      <c r="I30" s="96">
        <f t="shared" si="6"/>
        <v>233.75</v>
      </c>
      <c r="J30" s="96">
        <f t="shared" si="7"/>
        <v>187</v>
      </c>
      <c r="K30" s="96">
        <f t="shared" si="8"/>
        <v>140.25</v>
      </c>
      <c r="L30" s="96">
        <f t="shared" si="9"/>
        <v>93.5</v>
      </c>
      <c r="M30" s="96">
        <f t="shared" si="10"/>
        <v>46.75</v>
      </c>
    </row>
    <row r="31" spans="1:13" x14ac:dyDescent="0.2">
      <c r="A31" s="97">
        <v>34000</v>
      </c>
      <c r="B31" s="96">
        <f t="shared" si="12"/>
        <v>578</v>
      </c>
      <c r="C31" s="96">
        <f t="shared" si="0"/>
        <v>529.83000000000004</v>
      </c>
      <c r="D31" s="96">
        <f t="shared" si="1"/>
        <v>481.67</v>
      </c>
      <c r="E31" s="96">
        <f t="shared" si="2"/>
        <v>433.5</v>
      </c>
      <c r="F31" s="96">
        <f t="shared" si="3"/>
        <v>385.33</v>
      </c>
      <c r="G31" s="96">
        <f t="shared" si="4"/>
        <v>337.17</v>
      </c>
      <c r="H31" s="96">
        <f t="shared" si="5"/>
        <v>289</v>
      </c>
      <c r="I31" s="96">
        <f t="shared" si="6"/>
        <v>240.83</v>
      </c>
      <c r="J31" s="96">
        <f t="shared" si="7"/>
        <v>192.67</v>
      </c>
      <c r="K31" s="96">
        <f t="shared" si="8"/>
        <v>144.5</v>
      </c>
      <c r="L31" s="96">
        <f t="shared" si="9"/>
        <v>96.33</v>
      </c>
      <c r="M31" s="96">
        <f t="shared" si="10"/>
        <v>48.17</v>
      </c>
    </row>
    <row r="32" spans="1:13" x14ac:dyDescent="0.2">
      <c r="A32" s="97">
        <v>35000</v>
      </c>
      <c r="B32" s="96">
        <f t="shared" si="12"/>
        <v>595</v>
      </c>
      <c r="C32" s="96">
        <f t="shared" si="0"/>
        <v>545.41999999999996</v>
      </c>
      <c r="D32" s="96">
        <f t="shared" si="1"/>
        <v>495.83</v>
      </c>
      <c r="E32" s="96">
        <f t="shared" si="2"/>
        <v>446.25</v>
      </c>
      <c r="F32" s="96">
        <f t="shared" si="3"/>
        <v>396.67</v>
      </c>
      <c r="G32" s="96">
        <f t="shared" si="4"/>
        <v>347.08</v>
      </c>
      <c r="H32" s="96">
        <f t="shared" si="5"/>
        <v>297.5</v>
      </c>
      <c r="I32" s="96">
        <f t="shared" si="6"/>
        <v>247.92</v>
      </c>
      <c r="J32" s="96">
        <f t="shared" si="7"/>
        <v>198.33</v>
      </c>
      <c r="K32" s="96">
        <f t="shared" si="8"/>
        <v>148.75</v>
      </c>
      <c r="L32" s="96">
        <f t="shared" si="9"/>
        <v>99.17</v>
      </c>
      <c r="M32" s="96">
        <f t="shared" si="10"/>
        <v>49.58</v>
      </c>
    </row>
    <row r="33" spans="1:13" x14ac:dyDescent="0.2">
      <c r="A33" s="97">
        <v>36000</v>
      </c>
      <c r="B33" s="96">
        <f t="shared" si="12"/>
        <v>612</v>
      </c>
      <c r="C33" s="96">
        <f t="shared" si="0"/>
        <v>561</v>
      </c>
      <c r="D33" s="96">
        <f t="shared" si="1"/>
        <v>510</v>
      </c>
      <c r="E33" s="96">
        <f t="shared" si="2"/>
        <v>459</v>
      </c>
      <c r="F33" s="96">
        <f t="shared" si="3"/>
        <v>408</v>
      </c>
      <c r="G33" s="96">
        <f t="shared" si="4"/>
        <v>357</v>
      </c>
      <c r="H33" s="96">
        <f t="shared" si="5"/>
        <v>306</v>
      </c>
      <c r="I33" s="96">
        <f t="shared" si="6"/>
        <v>255</v>
      </c>
      <c r="J33" s="96">
        <f t="shared" si="7"/>
        <v>204</v>
      </c>
      <c r="K33" s="96">
        <f t="shared" si="8"/>
        <v>153</v>
      </c>
      <c r="L33" s="96">
        <f t="shared" si="9"/>
        <v>102</v>
      </c>
      <c r="M33" s="96">
        <f t="shared" si="10"/>
        <v>51</v>
      </c>
    </row>
    <row r="34" spans="1:13" x14ac:dyDescent="0.2">
      <c r="A34" s="97">
        <v>37000</v>
      </c>
      <c r="B34" s="96">
        <f t="shared" si="12"/>
        <v>629</v>
      </c>
      <c r="C34" s="96">
        <f t="shared" si="0"/>
        <v>576.58000000000004</v>
      </c>
      <c r="D34" s="96">
        <f t="shared" si="1"/>
        <v>524.16999999999996</v>
      </c>
      <c r="E34" s="96">
        <f t="shared" si="2"/>
        <v>471.75</v>
      </c>
      <c r="F34" s="96">
        <f t="shared" si="3"/>
        <v>419.33</v>
      </c>
      <c r="G34" s="96">
        <f t="shared" si="4"/>
        <v>366.92</v>
      </c>
      <c r="H34" s="96">
        <f t="shared" si="5"/>
        <v>314.5</v>
      </c>
      <c r="I34" s="96">
        <f t="shared" si="6"/>
        <v>262.08</v>
      </c>
      <c r="J34" s="96">
        <f t="shared" si="7"/>
        <v>209.67</v>
      </c>
      <c r="K34" s="96">
        <f t="shared" si="8"/>
        <v>157.25</v>
      </c>
      <c r="L34" s="96">
        <f t="shared" si="9"/>
        <v>104.83</v>
      </c>
      <c r="M34" s="96">
        <f t="shared" si="10"/>
        <v>52.42</v>
      </c>
    </row>
    <row r="35" spans="1:13" x14ac:dyDescent="0.2">
      <c r="A35" s="97">
        <v>38000</v>
      </c>
      <c r="B35" s="96">
        <f t="shared" si="12"/>
        <v>646</v>
      </c>
      <c r="C35" s="96">
        <f t="shared" si="0"/>
        <v>592.16999999999996</v>
      </c>
      <c r="D35" s="96">
        <f t="shared" si="1"/>
        <v>538.33000000000004</v>
      </c>
      <c r="E35" s="96">
        <f t="shared" si="2"/>
        <v>484.5</v>
      </c>
      <c r="F35" s="96">
        <f t="shared" si="3"/>
        <v>430.67</v>
      </c>
      <c r="G35" s="96">
        <f t="shared" si="4"/>
        <v>376.83</v>
      </c>
      <c r="H35" s="96">
        <f t="shared" si="5"/>
        <v>323</v>
      </c>
      <c r="I35" s="96">
        <f t="shared" si="6"/>
        <v>269.17</v>
      </c>
      <c r="J35" s="96">
        <f t="shared" si="7"/>
        <v>215.33</v>
      </c>
      <c r="K35" s="96">
        <f t="shared" si="8"/>
        <v>161.5</v>
      </c>
      <c r="L35" s="96">
        <f t="shared" si="9"/>
        <v>107.67</v>
      </c>
      <c r="M35" s="96">
        <f t="shared" si="10"/>
        <v>53.83</v>
      </c>
    </row>
    <row r="36" spans="1:13" x14ac:dyDescent="0.2">
      <c r="A36" s="97">
        <v>39000</v>
      </c>
      <c r="B36" s="96">
        <f t="shared" si="12"/>
        <v>663</v>
      </c>
      <c r="C36" s="96">
        <f t="shared" si="0"/>
        <v>607.75</v>
      </c>
      <c r="D36" s="96">
        <f t="shared" si="1"/>
        <v>552.5</v>
      </c>
      <c r="E36" s="96">
        <f t="shared" si="2"/>
        <v>497.25</v>
      </c>
      <c r="F36" s="96">
        <f t="shared" si="3"/>
        <v>442</v>
      </c>
      <c r="G36" s="96">
        <f t="shared" si="4"/>
        <v>386.75</v>
      </c>
      <c r="H36" s="96">
        <f t="shared" si="5"/>
        <v>331.5</v>
      </c>
      <c r="I36" s="96">
        <f t="shared" si="6"/>
        <v>276.25</v>
      </c>
      <c r="J36" s="96">
        <f t="shared" si="7"/>
        <v>221</v>
      </c>
      <c r="K36" s="96">
        <f t="shared" si="8"/>
        <v>165.75</v>
      </c>
      <c r="L36" s="96">
        <f t="shared" si="9"/>
        <v>110.5</v>
      </c>
      <c r="M36" s="96">
        <f t="shared" si="10"/>
        <v>55.25</v>
      </c>
    </row>
    <row r="37" spans="1:13" x14ac:dyDescent="0.2">
      <c r="A37" s="97">
        <v>40000</v>
      </c>
      <c r="B37" s="96">
        <f t="shared" si="12"/>
        <v>680</v>
      </c>
      <c r="C37" s="96">
        <f t="shared" ref="C37:C68" si="13">SUM($B37/12)*11</f>
        <v>623.33000000000004</v>
      </c>
      <c r="D37" s="96">
        <f t="shared" ref="D37:D68" si="14">SUM($B37/12)*10</f>
        <v>566.66999999999996</v>
      </c>
      <c r="E37" s="96">
        <f t="shared" ref="E37:E68" si="15">SUM($B37/12)*9</f>
        <v>510</v>
      </c>
      <c r="F37" s="96">
        <f t="shared" ref="F37:F68" si="16">SUM($B37/12)*8</f>
        <v>453.33</v>
      </c>
      <c r="G37" s="96">
        <f t="shared" ref="G37:G68" si="17">SUM($B37/12)*7</f>
        <v>396.67</v>
      </c>
      <c r="H37" s="96">
        <f t="shared" ref="H37:H68" si="18">SUM($B37/12)*6</f>
        <v>340</v>
      </c>
      <c r="I37" s="96">
        <f t="shared" ref="I37:I68" si="19">SUM($B37/12)*5</f>
        <v>283.33</v>
      </c>
      <c r="J37" s="96">
        <f t="shared" ref="J37:J68" si="20">SUM($B37/12)*4</f>
        <v>226.67</v>
      </c>
      <c r="K37" s="96">
        <f t="shared" ref="K37:K68" si="21">SUM($B37/12)*3</f>
        <v>170</v>
      </c>
      <c r="L37" s="96">
        <f t="shared" ref="L37:L68" si="22">SUM($B37/12)*2</f>
        <v>113.33</v>
      </c>
      <c r="M37" s="96">
        <f t="shared" ref="M37:M68" si="23">SUM($B37/12)</f>
        <v>56.67</v>
      </c>
    </row>
    <row r="38" spans="1:13" x14ac:dyDescent="0.2">
      <c r="A38" s="97">
        <v>41000</v>
      </c>
      <c r="B38" s="96">
        <f t="shared" si="12"/>
        <v>697</v>
      </c>
      <c r="C38" s="96">
        <f t="shared" si="13"/>
        <v>638.91999999999996</v>
      </c>
      <c r="D38" s="96">
        <f t="shared" si="14"/>
        <v>580.83000000000004</v>
      </c>
      <c r="E38" s="96">
        <f t="shared" si="15"/>
        <v>522.75</v>
      </c>
      <c r="F38" s="96">
        <f t="shared" si="16"/>
        <v>464.67</v>
      </c>
      <c r="G38" s="96">
        <f t="shared" si="17"/>
        <v>406.58</v>
      </c>
      <c r="H38" s="96">
        <f t="shared" si="18"/>
        <v>348.5</v>
      </c>
      <c r="I38" s="96">
        <f t="shared" si="19"/>
        <v>290.42</v>
      </c>
      <c r="J38" s="96">
        <f t="shared" si="20"/>
        <v>232.33</v>
      </c>
      <c r="K38" s="96">
        <f t="shared" si="21"/>
        <v>174.25</v>
      </c>
      <c r="L38" s="96">
        <f t="shared" si="22"/>
        <v>116.17</v>
      </c>
      <c r="M38" s="96">
        <f t="shared" si="23"/>
        <v>58.08</v>
      </c>
    </row>
    <row r="39" spans="1:13" x14ac:dyDescent="0.2">
      <c r="A39" s="97">
        <v>42000</v>
      </c>
      <c r="B39" s="96">
        <f t="shared" si="12"/>
        <v>714</v>
      </c>
      <c r="C39" s="96">
        <f t="shared" si="13"/>
        <v>654.5</v>
      </c>
      <c r="D39" s="96">
        <f t="shared" si="14"/>
        <v>595</v>
      </c>
      <c r="E39" s="96">
        <f t="shared" si="15"/>
        <v>535.5</v>
      </c>
      <c r="F39" s="96">
        <f t="shared" si="16"/>
        <v>476</v>
      </c>
      <c r="G39" s="96">
        <f t="shared" si="17"/>
        <v>416.5</v>
      </c>
      <c r="H39" s="96">
        <f t="shared" si="18"/>
        <v>357</v>
      </c>
      <c r="I39" s="96">
        <f t="shared" si="19"/>
        <v>297.5</v>
      </c>
      <c r="J39" s="96">
        <f t="shared" si="20"/>
        <v>238</v>
      </c>
      <c r="K39" s="96">
        <f t="shared" si="21"/>
        <v>178.5</v>
      </c>
      <c r="L39" s="96">
        <f t="shared" si="22"/>
        <v>119</v>
      </c>
      <c r="M39" s="96">
        <f t="shared" si="23"/>
        <v>59.5</v>
      </c>
    </row>
    <row r="40" spans="1:13" x14ac:dyDescent="0.2">
      <c r="A40" s="97">
        <v>43000</v>
      </c>
      <c r="B40" s="96">
        <f t="shared" si="12"/>
        <v>731</v>
      </c>
      <c r="C40" s="96">
        <f t="shared" si="13"/>
        <v>670.08</v>
      </c>
      <c r="D40" s="96">
        <f t="shared" si="14"/>
        <v>609.16999999999996</v>
      </c>
      <c r="E40" s="96">
        <f t="shared" si="15"/>
        <v>548.25</v>
      </c>
      <c r="F40" s="96">
        <f t="shared" si="16"/>
        <v>487.33</v>
      </c>
      <c r="G40" s="96">
        <f t="shared" si="17"/>
        <v>426.42</v>
      </c>
      <c r="H40" s="96">
        <f t="shared" si="18"/>
        <v>365.5</v>
      </c>
      <c r="I40" s="96">
        <f t="shared" si="19"/>
        <v>304.58</v>
      </c>
      <c r="J40" s="96">
        <f t="shared" si="20"/>
        <v>243.67</v>
      </c>
      <c r="K40" s="96">
        <f t="shared" si="21"/>
        <v>182.75</v>
      </c>
      <c r="L40" s="96">
        <f t="shared" si="22"/>
        <v>121.83</v>
      </c>
      <c r="M40" s="96">
        <f t="shared" si="23"/>
        <v>60.92</v>
      </c>
    </row>
    <row r="41" spans="1:13" x14ac:dyDescent="0.2">
      <c r="A41" s="97">
        <v>44000</v>
      </c>
      <c r="B41" s="96">
        <f t="shared" si="12"/>
        <v>748</v>
      </c>
      <c r="C41" s="96">
        <f t="shared" si="13"/>
        <v>685.67</v>
      </c>
      <c r="D41" s="96">
        <f t="shared" si="14"/>
        <v>623.33000000000004</v>
      </c>
      <c r="E41" s="96">
        <f t="shared" si="15"/>
        <v>561</v>
      </c>
      <c r="F41" s="96">
        <f t="shared" si="16"/>
        <v>498.67</v>
      </c>
      <c r="G41" s="96">
        <f t="shared" si="17"/>
        <v>436.33</v>
      </c>
      <c r="H41" s="96">
        <f t="shared" si="18"/>
        <v>374</v>
      </c>
      <c r="I41" s="96">
        <f t="shared" si="19"/>
        <v>311.67</v>
      </c>
      <c r="J41" s="96">
        <f t="shared" si="20"/>
        <v>249.33</v>
      </c>
      <c r="K41" s="96">
        <f t="shared" si="21"/>
        <v>187</v>
      </c>
      <c r="L41" s="96">
        <f t="shared" si="22"/>
        <v>124.67</v>
      </c>
      <c r="M41" s="96">
        <f t="shared" si="23"/>
        <v>62.33</v>
      </c>
    </row>
    <row r="42" spans="1:13" x14ac:dyDescent="0.2">
      <c r="A42" s="97">
        <v>45000</v>
      </c>
      <c r="B42" s="96">
        <f t="shared" si="12"/>
        <v>765</v>
      </c>
      <c r="C42" s="96">
        <f t="shared" si="13"/>
        <v>701.25</v>
      </c>
      <c r="D42" s="96">
        <f t="shared" si="14"/>
        <v>637.5</v>
      </c>
      <c r="E42" s="96">
        <f t="shared" si="15"/>
        <v>573.75</v>
      </c>
      <c r="F42" s="96">
        <f t="shared" si="16"/>
        <v>510</v>
      </c>
      <c r="G42" s="96">
        <f t="shared" si="17"/>
        <v>446.25</v>
      </c>
      <c r="H42" s="96">
        <f t="shared" si="18"/>
        <v>382.5</v>
      </c>
      <c r="I42" s="96">
        <f t="shared" si="19"/>
        <v>318.75</v>
      </c>
      <c r="J42" s="96">
        <f t="shared" si="20"/>
        <v>255</v>
      </c>
      <c r="K42" s="96">
        <f t="shared" si="21"/>
        <v>191.25</v>
      </c>
      <c r="L42" s="96">
        <f t="shared" si="22"/>
        <v>127.5</v>
      </c>
      <c r="M42" s="96">
        <f t="shared" si="23"/>
        <v>63.75</v>
      </c>
    </row>
    <row r="43" spans="1:13" x14ac:dyDescent="0.2">
      <c r="A43" s="97">
        <v>46000</v>
      </c>
      <c r="B43" s="96">
        <f t="shared" si="12"/>
        <v>782</v>
      </c>
      <c r="C43" s="96">
        <f t="shared" si="13"/>
        <v>716.83</v>
      </c>
      <c r="D43" s="96">
        <f t="shared" si="14"/>
        <v>651.66999999999996</v>
      </c>
      <c r="E43" s="96">
        <f t="shared" si="15"/>
        <v>586.5</v>
      </c>
      <c r="F43" s="96">
        <f t="shared" si="16"/>
        <v>521.33000000000004</v>
      </c>
      <c r="G43" s="96">
        <f t="shared" si="17"/>
        <v>456.17</v>
      </c>
      <c r="H43" s="96">
        <f t="shared" si="18"/>
        <v>391</v>
      </c>
      <c r="I43" s="96">
        <f t="shared" si="19"/>
        <v>325.83</v>
      </c>
      <c r="J43" s="96">
        <f t="shared" si="20"/>
        <v>260.67</v>
      </c>
      <c r="K43" s="96">
        <f t="shared" si="21"/>
        <v>195.5</v>
      </c>
      <c r="L43" s="96">
        <f t="shared" si="22"/>
        <v>130.33000000000001</v>
      </c>
      <c r="M43" s="96">
        <f t="shared" si="23"/>
        <v>65.17</v>
      </c>
    </row>
    <row r="44" spans="1:13" x14ac:dyDescent="0.2">
      <c r="A44" s="97">
        <v>47000</v>
      </c>
      <c r="B44" s="96">
        <f t="shared" si="12"/>
        <v>799</v>
      </c>
      <c r="C44" s="96">
        <f t="shared" si="13"/>
        <v>732.42</v>
      </c>
      <c r="D44" s="96">
        <f t="shared" si="14"/>
        <v>665.83</v>
      </c>
      <c r="E44" s="96">
        <f t="shared" si="15"/>
        <v>599.25</v>
      </c>
      <c r="F44" s="96">
        <f t="shared" si="16"/>
        <v>532.66999999999996</v>
      </c>
      <c r="G44" s="96">
        <f t="shared" si="17"/>
        <v>466.08</v>
      </c>
      <c r="H44" s="96">
        <f t="shared" si="18"/>
        <v>399.5</v>
      </c>
      <c r="I44" s="96">
        <f t="shared" si="19"/>
        <v>332.92</v>
      </c>
      <c r="J44" s="96">
        <f t="shared" si="20"/>
        <v>266.33</v>
      </c>
      <c r="K44" s="96">
        <f t="shared" si="21"/>
        <v>199.75</v>
      </c>
      <c r="L44" s="96">
        <f t="shared" si="22"/>
        <v>133.16999999999999</v>
      </c>
      <c r="M44" s="96">
        <f t="shared" si="23"/>
        <v>66.58</v>
      </c>
    </row>
    <row r="45" spans="1:13" x14ac:dyDescent="0.2">
      <c r="A45" s="97">
        <v>48000</v>
      </c>
      <c r="B45" s="96">
        <f t="shared" si="12"/>
        <v>816</v>
      </c>
      <c r="C45" s="96">
        <f t="shared" si="13"/>
        <v>748</v>
      </c>
      <c r="D45" s="96">
        <f t="shared" si="14"/>
        <v>680</v>
      </c>
      <c r="E45" s="96">
        <f t="shared" si="15"/>
        <v>612</v>
      </c>
      <c r="F45" s="96">
        <f t="shared" si="16"/>
        <v>544</v>
      </c>
      <c r="G45" s="96">
        <f t="shared" si="17"/>
        <v>476</v>
      </c>
      <c r="H45" s="96">
        <f t="shared" si="18"/>
        <v>408</v>
      </c>
      <c r="I45" s="96">
        <f t="shared" si="19"/>
        <v>340</v>
      </c>
      <c r="J45" s="96">
        <f t="shared" si="20"/>
        <v>272</v>
      </c>
      <c r="K45" s="96">
        <f t="shared" si="21"/>
        <v>204</v>
      </c>
      <c r="L45" s="96">
        <f t="shared" si="22"/>
        <v>136</v>
      </c>
      <c r="M45" s="96">
        <f t="shared" si="23"/>
        <v>68</v>
      </c>
    </row>
    <row r="46" spans="1:13" x14ac:dyDescent="0.2">
      <c r="A46" s="97">
        <v>49000</v>
      </c>
      <c r="B46" s="96">
        <f t="shared" si="12"/>
        <v>833</v>
      </c>
      <c r="C46" s="96">
        <f t="shared" si="13"/>
        <v>763.58</v>
      </c>
      <c r="D46" s="96">
        <f t="shared" si="14"/>
        <v>694.17</v>
      </c>
      <c r="E46" s="96">
        <f t="shared" si="15"/>
        <v>624.75</v>
      </c>
      <c r="F46" s="96">
        <f t="shared" si="16"/>
        <v>555.33000000000004</v>
      </c>
      <c r="G46" s="96">
        <f t="shared" si="17"/>
        <v>485.92</v>
      </c>
      <c r="H46" s="96">
        <f t="shared" si="18"/>
        <v>416.5</v>
      </c>
      <c r="I46" s="96">
        <f t="shared" si="19"/>
        <v>347.08</v>
      </c>
      <c r="J46" s="96">
        <f t="shared" si="20"/>
        <v>277.67</v>
      </c>
      <c r="K46" s="96">
        <f t="shared" si="21"/>
        <v>208.25</v>
      </c>
      <c r="L46" s="96">
        <f t="shared" si="22"/>
        <v>138.83000000000001</v>
      </c>
      <c r="M46" s="96">
        <f t="shared" si="23"/>
        <v>69.42</v>
      </c>
    </row>
    <row r="47" spans="1:13" x14ac:dyDescent="0.2">
      <c r="A47" s="97">
        <v>50000</v>
      </c>
      <c r="B47" s="96">
        <f t="shared" si="12"/>
        <v>850</v>
      </c>
      <c r="C47" s="96">
        <f t="shared" si="13"/>
        <v>779.17</v>
      </c>
      <c r="D47" s="96">
        <f t="shared" si="14"/>
        <v>708.33</v>
      </c>
      <c r="E47" s="96">
        <f t="shared" si="15"/>
        <v>637.5</v>
      </c>
      <c r="F47" s="96">
        <f t="shared" si="16"/>
        <v>566.66999999999996</v>
      </c>
      <c r="G47" s="96">
        <f t="shared" si="17"/>
        <v>495.83</v>
      </c>
      <c r="H47" s="96">
        <f t="shared" si="18"/>
        <v>425</v>
      </c>
      <c r="I47" s="96">
        <f t="shared" si="19"/>
        <v>354.17</v>
      </c>
      <c r="J47" s="96">
        <f t="shared" si="20"/>
        <v>283.33</v>
      </c>
      <c r="K47" s="96">
        <f t="shared" si="21"/>
        <v>212.5</v>
      </c>
      <c r="L47" s="96">
        <f t="shared" si="22"/>
        <v>141.66999999999999</v>
      </c>
      <c r="M47" s="96">
        <f t="shared" si="23"/>
        <v>70.83</v>
      </c>
    </row>
    <row r="48" spans="1:13" x14ac:dyDescent="0.2">
      <c r="A48" s="97">
        <v>51000</v>
      </c>
      <c r="B48" s="96">
        <f t="shared" si="12"/>
        <v>867</v>
      </c>
      <c r="C48" s="96">
        <f t="shared" si="13"/>
        <v>794.75</v>
      </c>
      <c r="D48" s="96">
        <f t="shared" si="14"/>
        <v>722.5</v>
      </c>
      <c r="E48" s="96">
        <f t="shared" si="15"/>
        <v>650.25</v>
      </c>
      <c r="F48" s="96">
        <f t="shared" si="16"/>
        <v>578</v>
      </c>
      <c r="G48" s="96">
        <f t="shared" si="17"/>
        <v>505.75</v>
      </c>
      <c r="H48" s="96">
        <f t="shared" si="18"/>
        <v>433.5</v>
      </c>
      <c r="I48" s="96">
        <f t="shared" si="19"/>
        <v>361.25</v>
      </c>
      <c r="J48" s="96">
        <f t="shared" si="20"/>
        <v>289</v>
      </c>
      <c r="K48" s="96">
        <f t="shared" si="21"/>
        <v>216.75</v>
      </c>
      <c r="L48" s="96">
        <f t="shared" si="22"/>
        <v>144.5</v>
      </c>
      <c r="M48" s="96">
        <f t="shared" si="23"/>
        <v>72.25</v>
      </c>
    </row>
    <row r="49" spans="1:13" x14ac:dyDescent="0.2">
      <c r="A49" s="97">
        <v>52000</v>
      </c>
      <c r="B49" s="96">
        <f t="shared" si="12"/>
        <v>884</v>
      </c>
      <c r="C49" s="96">
        <f t="shared" si="13"/>
        <v>810.33</v>
      </c>
      <c r="D49" s="96">
        <f t="shared" si="14"/>
        <v>736.67</v>
      </c>
      <c r="E49" s="96">
        <f t="shared" si="15"/>
        <v>663</v>
      </c>
      <c r="F49" s="96">
        <f t="shared" si="16"/>
        <v>589.33000000000004</v>
      </c>
      <c r="G49" s="96">
        <f t="shared" si="17"/>
        <v>515.66999999999996</v>
      </c>
      <c r="H49" s="96">
        <f t="shared" si="18"/>
        <v>442</v>
      </c>
      <c r="I49" s="96">
        <f t="shared" si="19"/>
        <v>368.33</v>
      </c>
      <c r="J49" s="96">
        <f t="shared" si="20"/>
        <v>294.67</v>
      </c>
      <c r="K49" s="96">
        <f t="shared" si="21"/>
        <v>221</v>
      </c>
      <c r="L49" s="96">
        <f t="shared" si="22"/>
        <v>147.33000000000001</v>
      </c>
      <c r="M49" s="96">
        <f t="shared" si="23"/>
        <v>73.67</v>
      </c>
    </row>
    <row r="50" spans="1:13" x14ac:dyDescent="0.2">
      <c r="A50" s="97">
        <v>53000</v>
      </c>
      <c r="B50" s="96">
        <f t="shared" si="12"/>
        <v>901</v>
      </c>
      <c r="C50" s="96">
        <f t="shared" si="13"/>
        <v>825.92</v>
      </c>
      <c r="D50" s="96">
        <f t="shared" si="14"/>
        <v>750.83</v>
      </c>
      <c r="E50" s="96">
        <f t="shared" si="15"/>
        <v>675.75</v>
      </c>
      <c r="F50" s="96">
        <f t="shared" si="16"/>
        <v>600.66999999999996</v>
      </c>
      <c r="G50" s="96">
        <f t="shared" si="17"/>
        <v>525.58000000000004</v>
      </c>
      <c r="H50" s="96">
        <f t="shared" si="18"/>
        <v>450.5</v>
      </c>
      <c r="I50" s="96">
        <f t="shared" si="19"/>
        <v>375.42</v>
      </c>
      <c r="J50" s="96">
        <f t="shared" si="20"/>
        <v>300.33</v>
      </c>
      <c r="K50" s="96">
        <f t="shared" si="21"/>
        <v>225.25</v>
      </c>
      <c r="L50" s="96">
        <f t="shared" si="22"/>
        <v>150.16999999999999</v>
      </c>
      <c r="M50" s="96">
        <f t="shared" si="23"/>
        <v>75.08</v>
      </c>
    </row>
    <row r="51" spans="1:13" x14ac:dyDescent="0.2">
      <c r="A51" s="97">
        <v>54000</v>
      </c>
      <c r="B51" s="96">
        <f t="shared" si="12"/>
        <v>918</v>
      </c>
      <c r="C51" s="96">
        <f t="shared" si="13"/>
        <v>841.5</v>
      </c>
      <c r="D51" s="96">
        <f t="shared" si="14"/>
        <v>765</v>
      </c>
      <c r="E51" s="96">
        <f t="shared" si="15"/>
        <v>688.5</v>
      </c>
      <c r="F51" s="96">
        <f t="shared" si="16"/>
        <v>612</v>
      </c>
      <c r="G51" s="96">
        <f t="shared" si="17"/>
        <v>535.5</v>
      </c>
      <c r="H51" s="96">
        <f t="shared" si="18"/>
        <v>459</v>
      </c>
      <c r="I51" s="96">
        <f t="shared" si="19"/>
        <v>382.5</v>
      </c>
      <c r="J51" s="96">
        <f t="shared" si="20"/>
        <v>306</v>
      </c>
      <c r="K51" s="96">
        <f t="shared" si="21"/>
        <v>229.5</v>
      </c>
      <c r="L51" s="96">
        <f t="shared" si="22"/>
        <v>153</v>
      </c>
      <c r="M51" s="96">
        <f t="shared" si="23"/>
        <v>76.5</v>
      </c>
    </row>
    <row r="52" spans="1:13" x14ac:dyDescent="0.2">
      <c r="A52" s="97">
        <v>55000</v>
      </c>
      <c r="B52" s="96">
        <f t="shared" si="12"/>
        <v>935</v>
      </c>
      <c r="C52" s="96">
        <f t="shared" si="13"/>
        <v>857.08</v>
      </c>
      <c r="D52" s="96">
        <f t="shared" si="14"/>
        <v>779.17</v>
      </c>
      <c r="E52" s="96">
        <f t="shared" si="15"/>
        <v>701.25</v>
      </c>
      <c r="F52" s="96">
        <f t="shared" si="16"/>
        <v>623.33000000000004</v>
      </c>
      <c r="G52" s="96">
        <f t="shared" si="17"/>
        <v>545.41999999999996</v>
      </c>
      <c r="H52" s="96">
        <f t="shared" si="18"/>
        <v>467.5</v>
      </c>
      <c r="I52" s="96">
        <f t="shared" si="19"/>
        <v>389.58</v>
      </c>
      <c r="J52" s="96">
        <f t="shared" si="20"/>
        <v>311.67</v>
      </c>
      <c r="K52" s="96">
        <f t="shared" si="21"/>
        <v>233.75</v>
      </c>
      <c r="L52" s="96">
        <f t="shared" si="22"/>
        <v>155.83000000000001</v>
      </c>
      <c r="M52" s="96">
        <f t="shared" si="23"/>
        <v>77.92</v>
      </c>
    </row>
    <row r="53" spans="1:13" x14ac:dyDescent="0.2">
      <c r="A53" s="97">
        <v>56000</v>
      </c>
      <c r="B53" s="96">
        <f t="shared" si="12"/>
        <v>952</v>
      </c>
      <c r="C53" s="96">
        <f t="shared" si="13"/>
        <v>872.67</v>
      </c>
      <c r="D53" s="96">
        <f t="shared" si="14"/>
        <v>793.33</v>
      </c>
      <c r="E53" s="96">
        <f t="shared" si="15"/>
        <v>714</v>
      </c>
      <c r="F53" s="96">
        <f t="shared" si="16"/>
        <v>634.66999999999996</v>
      </c>
      <c r="G53" s="96">
        <f t="shared" si="17"/>
        <v>555.33000000000004</v>
      </c>
      <c r="H53" s="96">
        <f t="shared" si="18"/>
        <v>476</v>
      </c>
      <c r="I53" s="96">
        <f t="shared" si="19"/>
        <v>396.67</v>
      </c>
      <c r="J53" s="96">
        <f t="shared" si="20"/>
        <v>317.33</v>
      </c>
      <c r="K53" s="96">
        <f t="shared" si="21"/>
        <v>238</v>
      </c>
      <c r="L53" s="96">
        <f t="shared" si="22"/>
        <v>158.66999999999999</v>
      </c>
      <c r="M53" s="96">
        <f t="shared" si="23"/>
        <v>79.33</v>
      </c>
    </row>
    <row r="54" spans="1:13" x14ac:dyDescent="0.2">
      <c r="A54" s="97">
        <v>57000</v>
      </c>
      <c r="B54" s="96">
        <f t="shared" si="12"/>
        <v>969</v>
      </c>
      <c r="C54" s="96">
        <f t="shared" si="13"/>
        <v>888.25</v>
      </c>
      <c r="D54" s="96">
        <f t="shared" si="14"/>
        <v>807.5</v>
      </c>
      <c r="E54" s="96">
        <f t="shared" si="15"/>
        <v>726.75</v>
      </c>
      <c r="F54" s="96">
        <f t="shared" si="16"/>
        <v>646</v>
      </c>
      <c r="G54" s="96">
        <f t="shared" si="17"/>
        <v>565.25</v>
      </c>
      <c r="H54" s="96">
        <f t="shared" si="18"/>
        <v>484.5</v>
      </c>
      <c r="I54" s="96">
        <f t="shared" si="19"/>
        <v>403.75</v>
      </c>
      <c r="J54" s="96">
        <f t="shared" si="20"/>
        <v>323</v>
      </c>
      <c r="K54" s="96">
        <f t="shared" si="21"/>
        <v>242.25</v>
      </c>
      <c r="L54" s="96">
        <f t="shared" si="22"/>
        <v>161.5</v>
      </c>
      <c r="M54" s="96">
        <f t="shared" si="23"/>
        <v>80.75</v>
      </c>
    </row>
    <row r="55" spans="1:13" x14ac:dyDescent="0.2">
      <c r="A55" s="97">
        <v>58000</v>
      </c>
      <c r="B55" s="96">
        <f t="shared" si="12"/>
        <v>986</v>
      </c>
      <c r="C55" s="96">
        <f t="shared" si="13"/>
        <v>903.83</v>
      </c>
      <c r="D55" s="96">
        <f t="shared" si="14"/>
        <v>821.67</v>
      </c>
      <c r="E55" s="96">
        <f t="shared" si="15"/>
        <v>739.5</v>
      </c>
      <c r="F55" s="96">
        <f t="shared" si="16"/>
        <v>657.33</v>
      </c>
      <c r="G55" s="96">
        <f t="shared" si="17"/>
        <v>575.16999999999996</v>
      </c>
      <c r="H55" s="96">
        <f t="shared" si="18"/>
        <v>493</v>
      </c>
      <c r="I55" s="96">
        <f t="shared" si="19"/>
        <v>410.83</v>
      </c>
      <c r="J55" s="96">
        <f t="shared" si="20"/>
        <v>328.67</v>
      </c>
      <c r="K55" s="96">
        <f t="shared" si="21"/>
        <v>246.5</v>
      </c>
      <c r="L55" s="96">
        <f t="shared" si="22"/>
        <v>164.33</v>
      </c>
      <c r="M55" s="96">
        <f t="shared" si="23"/>
        <v>82.17</v>
      </c>
    </row>
    <row r="56" spans="1:13" x14ac:dyDescent="0.2">
      <c r="A56" s="97">
        <v>59000</v>
      </c>
      <c r="B56" s="96">
        <f t="shared" si="12"/>
        <v>1003</v>
      </c>
      <c r="C56" s="96">
        <f t="shared" si="13"/>
        <v>919.42</v>
      </c>
      <c r="D56" s="96">
        <f t="shared" si="14"/>
        <v>835.83</v>
      </c>
      <c r="E56" s="96">
        <f t="shared" si="15"/>
        <v>752.25</v>
      </c>
      <c r="F56" s="96">
        <f t="shared" si="16"/>
        <v>668.67</v>
      </c>
      <c r="G56" s="96">
        <f t="shared" si="17"/>
        <v>585.08000000000004</v>
      </c>
      <c r="H56" s="96">
        <f t="shared" si="18"/>
        <v>501.5</v>
      </c>
      <c r="I56" s="96">
        <f t="shared" si="19"/>
        <v>417.92</v>
      </c>
      <c r="J56" s="96">
        <f t="shared" si="20"/>
        <v>334.33</v>
      </c>
      <c r="K56" s="96">
        <f t="shared" si="21"/>
        <v>250.75</v>
      </c>
      <c r="L56" s="96">
        <f t="shared" si="22"/>
        <v>167.17</v>
      </c>
      <c r="M56" s="96">
        <f t="shared" si="23"/>
        <v>83.58</v>
      </c>
    </row>
    <row r="57" spans="1:13" x14ac:dyDescent="0.2">
      <c r="A57" s="97">
        <v>60000</v>
      </c>
      <c r="B57" s="96">
        <f t="shared" ref="B57:B77" si="24">SUM(B56+17)</f>
        <v>1020</v>
      </c>
      <c r="C57" s="96">
        <f t="shared" si="13"/>
        <v>935</v>
      </c>
      <c r="D57" s="96">
        <f t="shared" si="14"/>
        <v>850</v>
      </c>
      <c r="E57" s="96">
        <f t="shared" si="15"/>
        <v>765</v>
      </c>
      <c r="F57" s="96">
        <f t="shared" si="16"/>
        <v>680</v>
      </c>
      <c r="G57" s="96">
        <f t="shared" si="17"/>
        <v>595</v>
      </c>
      <c r="H57" s="96">
        <f t="shared" si="18"/>
        <v>510</v>
      </c>
      <c r="I57" s="96">
        <f t="shared" si="19"/>
        <v>425</v>
      </c>
      <c r="J57" s="96">
        <f t="shared" si="20"/>
        <v>340</v>
      </c>
      <c r="K57" s="96">
        <f t="shared" si="21"/>
        <v>255</v>
      </c>
      <c r="L57" s="96">
        <f t="shared" si="22"/>
        <v>170</v>
      </c>
      <c r="M57" s="96">
        <f t="shared" si="23"/>
        <v>85</v>
      </c>
    </row>
    <row r="58" spans="1:13" x14ac:dyDescent="0.2">
      <c r="A58" s="97">
        <v>61000</v>
      </c>
      <c r="B58" s="96">
        <f t="shared" si="24"/>
        <v>1037</v>
      </c>
      <c r="C58" s="96">
        <f t="shared" si="13"/>
        <v>950.58</v>
      </c>
      <c r="D58" s="96">
        <f t="shared" si="14"/>
        <v>864.17</v>
      </c>
      <c r="E58" s="96">
        <f t="shared" si="15"/>
        <v>777.75</v>
      </c>
      <c r="F58" s="96">
        <f t="shared" si="16"/>
        <v>691.33</v>
      </c>
      <c r="G58" s="96">
        <f t="shared" si="17"/>
        <v>604.91999999999996</v>
      </c>
      <c r="H58" s="96">
        <f t="shared" si="18"/>
        <v>518.5</v>
      </c>
      <c r="I58" s="96">
        <f t="shared" si="19"/>
        <v>432.08</v>
      </c>
      <c r="J58" s="96">
        <f t="shared" si="20"/>
        <v>345.67</v>
      </c>
      <c r="K58" s="96">
        <f t="shared" si="21"/>
        <v>259.25</v>
      </c>
      <c r="L58" s="96">
        <f t="shared" si="22"/>
        <v>172.83</v>
      </c>
      <c r="M58" s="96">
        <f t="shared" si="23"/>
        <v>86.42</v>
      </c>
    </row>
    <row r="59" spans="1:13" x14ac:dyDescent="0.2">
      <c r="A59" s="97">
        <v>62000</v>
      </c>
      <c r="B59" s="96">
        <f t="shared" si="24"/>
        <v>1054</v>
      </c>
      <c r="C59" s="96">
        <f t="shared" si="13"/>
        <v>966.17</v>
      </c>
      <c r="D59" s="96">
        <f t="shared" si="14"/>
        <v>878.33</v>
      </c>
      <c r="E59" s="96">
        <f t="shared" si="15"/>
        <v>790.5</v>
      </c>
      <c r="F59" s="96">
        <f t="shared" si="16"/>
        <v>702.67</v>
      </c>
      <c r="G59" s="96">
        <f t="shared" si="17"/>
        <v>614.83000000000004</v>
      </c>
      <c r="H59" s="96">
        <f t="shared" si="18"/>
        <v>527</v>
      </c>
      <c r="I59" s="96">
        <f t="shared" si="19"/>
        <v>439.17</v>
      </c>
      <c r="J59" s="96">
        <f t="shared" si="20"/>
        <v>351.33</v>
      </c>
      <c r="K59" s="96">
        <f t="shared" si="21"/>
        <v>263.5</v>
      </c>
      <c r="L59" s="96">
        <f t="shared" si="22"/>
        <v>175.67</v>
      </c>
      <c r="M59" s="96">
        <f t="shared" si="23"/>
        <v>87.83</v>
      </c>
    </row>
    <row r="60" spans="1:13" x14ac:dyDescent="0.2">
      <c r="A60" s="97">
        <v>63000</v>
      </c>
      <c r="B60" s="96">
        <f t="shared" si="24"/>
        <v>1071</v>
      </c>
      <c r="C60" s="96">
        <f t="shared" si="13"/>
        <v>981.75</v>
      </c>
      <c r="D60" s="96">
        <f t="shared" si="14"/>
        <v>892.5</v>
      </c>
      <c r="E60" s="96">
        <f t="shared" si="15"/>
        <v>803.25</v>
      </c>
      <c r="F60" s="96">
        <f t="shared" si="16"/>
        <v>714</v>
      </c>
      <c r="G60" s="96">
        <f t="shared" si="17"/>
        <v>624.75</v>
      </c>
      <c r="H60" s="96">
        <f t="shared" si="18"/>
        <v>535.5</v>
      </c>
      <c r="I60" s="96">
        <f t="shared" si="19"/>
        <v>446.25</v>
      </c>
      <c r="J60" s="96">
        <f t="shared" si="20"/>
        <v>357</v>
      </c>
      <c r="K60" s="96">
        <f t="shared" si="21"/>
        <v>267.75</v>
      </c>
      <c r="L60" s="96">
        <f t="shared" si="22"/>
        <v>178.5</v>
      </c>
      <c r="M60" s="96">
        <f t="shared" si="23"/>
        <v>89.25</v>
      </c>
    </row>
    <row r="61" spans="1:13" x14ac:dyDescent="0.2">
      <c r="A61" s="97">
        <v>64000</v>
      </c>
      <c r="B61" s="96">
        <f t="shared" si="24"/>
        <v>1088</v>
      </c>
      <c r="C61" s="96">
        <f t="shared" si="13"/>
        <v>997.33</v>
      </c>
      <c r="D61" s="96">
        <f t="shared" si="14"/>
        <v>906.67</v>
      </c>
      <c r="E61" s="96">
        <f t="shared" si="15"/>
        <v>816</v>
      </c>
      <c r="F61" s="96">
        <f t="shared" si="16"/>
        <v>725.33</v>
      </c>
      <c r="G61" s="96">
        <f t="shared" si="17"/>
        <v>634.66999999999996</v>
      </c>
      <c r="H61" s="96">
        <f t="shared" si="18"/>
        <v>544</v>
      </c>
      <c r="I61" s="96">
        <f t="shared" si="19"/>
        <v>453.33</v>
      </c>
      <c r="J61" s="96">
        <f t="shared" si="20"/>
        <v>362.67</v>
      </c>
      <c r="K61" s="96">
        <f t="shared" si="21"/>
        <v>272</v>
      </c>
      <c r="L61" s="96">
        <f t="shared" si="22"/>
        <v>181.33</v>
      </c>
      <c r="M61" s="96">
        <f t="shared" si="23"/>
        <v>90.67</v>
      </c>
    </row>
    <row r="62" spans="1:13" x14ac:dyDescent="0.2">
      <c r="A62" s="97">
        <v>65000</v>
      </c>
      <c r="B62" s="96">
        <f t="shared" si="24"/>
        <v>1105</v>
      </c>
      <c r="C62" s="96">
        <f t="shared" si="13"/>
        <v>1012.92</v>
      </c>
      <c r="D62" s="96">
        <f t="shared" si="14"/>
        <v>920.83</v>
      </c>
      <c r="E62" s="96">
        <f t="shared" si="15"/>
        <v>828.75</v>
      </c>
      <c r="F62" s="96">
        <f t="shared" si="16"/>
        <v>736.67</v>
      </c>
      <c r="G62" s="96">
        <f t="shared" si="17"/>
        <v>644.58000000000004</v>
      </c>
      <c r="H62" s="96">
        <f t="shared" si="18"/>
        <v>552.5</v>
      </c>
      <c r="I62" s="96">
        <f t="shared" si="19"/>
        <v>460.42</v>
      </c>
      <c r="J62" s="96">
        <f t="shared" si="20"/>
        <v>368.33</v>
      </c>
      <c r="K62" s="96">
        <f t="shared" si="21"/>
        <v>276.25</v>
      </c>
      <c r="L62" s="96">
        <f t="shared" si="22"/>
        <v>184.17</v>
      </c>
      <c r="M62" s="96">
        <f t="shared" si="23"/>
        <v>92.08</v>
      </c>
    </row>
    <row r="63" spans="1:13" x14ac:dyDescent="0.2">
      <c r="A63" s="97">
        <v>66000</v>
      </c>
      <c r="B63" s="96">
        <f t="shared" si="24"/>
        <v>1122</v>
      </c>
      <c r="C63" s="96">
        <f t="shared" si="13"/>
        <v>1028.5</v>
      </c>
      <c r="D63" s="96">
        <f t="shared" si="14"/>
        <v>935</v>
      </c>
      <c r="E63" s="96">
        <f t="shared" si="15"/>
        <v>841.5</v>
      </c>
      <c r="F63" s="96">
        <f t="shared" si="16"/>
        <v>748</v>
      </c>
      <c r="G63" s="96">
        <f t="shared" si="17"/>
        <v>654.5</v>
      </c>
      <c r="H63" s="96">
        <f t="shared" si="18"/>
        <v>561</v>
      </c>
      <c r="I63" s="96">
        <f t="shared" si="19"/>
        <v>467.5</v>
      </c>
      <c r="J63" s="96">
        <f t="shared" si="20"/>
        <v>374</v>
      </c>
      <c r="K63" s="96">
        <f t="shared" si="21"/>
        <v>280.5</v>
      </c>
      <c r="L63" s="96">
        <f t="shared" si="22"/>
        <v>187</v>
      </c>
      <c r="M63" s="96">
        <f t="shared" si="23"/>
        <v>93.5</v>
      </c>
    </row>
    <row r="64" spans="1:13" x14ac:dyDescent="0.2">
      <c r="A64" s="97">
        <v>67000</v>
      </c>
      <c r="B64" s="96">
        <f t="shared" si="24"/>
        <v>1139</v>
      </c>
      <c r="C64" s="96">
        <f t="shared" si="13"/>
        <v>1044.08</v>
      </c>
      <c r="D64" s="96">
        <f t="shared" si="14"/>
        <v>949.17</v>
      </c>
      <c r="E64" s="96">
        <f t="shared" si="15"/>
        <v>854.25</v>
      </c>
      <c r="F64" s="96">
        <f t="shared" si="16"/>
        <v>759.33</v>
      </c>
      <c r="G64" s="96">
        <f t="shared" si="17"/>
        <v>664.42</v>
      </c>
      <c r="H64" s="96">
        <f t="shared" si="18"/>
        <v>569.5</v>
      </c>
      <c r="I64" s="96">
        <f t="shared" si="19"/>
        <v>474.58</v>
      </c>
      <c r="J64" s="96">
        <f t="shared" si="20"/>
        <v>379.67</v>
      </c>
      <c r="K64" s="96">
        <f t="shared" si="21"/>
        <v>284.75</v>
      </c>
      <c r="L64" s="96">
        <f t="shared" si="22"/>
        <v>189.83</v>
      </c>
      <c r="M64" s="96">
        <f t="shared" si="23"/>
        <v>94.92</v>
      </c>
    </row>
    <row r="65" spans="1:13" x14ac:dyDescent="0.2">
      <c r="A65" s="97">
        <v>68000</v>
      </c>
      <c r="B65" s="96">
        <f t="shared" si="24"/>
        <v>1156</v>
      </c>
      <c r="C65" s="96">
        <f t="shared" si="13"/>
        <v>1059.67</v>
      </c>
      <c r="D65" s="96">
        <f t="shared" si="14"/>
        <v>963.33</v>
      </c>
      <c r="E65" s="96">
        <f t="shared" si="15"/>
        <v>867</v>
      </c>
      <c r="F65" s="96">
        <f t="shared" si="16"/>
        <v>770.67</v>
      </c>
      <c r="G65" s="96">
        <f t="shared" si="17"/>
        <v>674.33</v>
      </c>
      <c r="H65" s="96">
        <f t="shared" si="18"/>
        <v>578</v>
      </c>
      <c r="I65" s="96">
        <f t="shared" si="19"/>
        <v>481.67</v>
      </c>
      <c r="J65" s="96">
        <f t="shared" si="20"/>
        <v>385.33</v>
      </c>
      <c r="K65" s="96">
        <f t="shared" si="21"/>
        <v>289</v>
      </c>
      <c r="L65" s="96">
        <f t="shared" si="22"/>
        <v>192.67</v>
      </c>
      <c r="M65" s="96">
        <f t="shared" si="23"/>
        <v>96.33</v>
      </c>
    </row>
    <row r="66" spans="1:13" x14ac:dyDescent="0.2">
      <c r="A66" s="97">
        <v>69000</v>
      </c>
      <c r="B66" s="96">
        <f t="shared" si="24"/>
        <v>1173</v>
      </c>
      <c r="C66" s="96">
        <f t="shared" si="13"/>
        <v>1075.25</v>
      </c>
      <c r="D66" s="96">
        <f t="shared" si="14"/>
        <v>977.5</v>
      </c>
      <c r="E66" s="96">
        <f t="shared" si="15"/>
        <v>879.75</v>
      </c>
      <c r="F66" s="96">
        <f t="shared" si="16"/>
        <v>782</v>
      </c>
      <c r="G66" s="96">
        <f t="shared" si="17"/>
        <v>684.25</v>
      </c>
      <c r="H66" s="96">
        <f t="shared" si="18"/>
        <v>586.5</v>
      </c>
      <c r="I66" s="96">
        <f t="shared" si="19"/>
        <v>488.75</v>
      </c>
      <c r="J66" s="96">
        <f t="shared" si="20"/>
        <v>391</v>
      </c>
      <c r="K66" s="96">
        <f t="shared" si="21"/>
        <v>293.25</v>
      </c>
      <c r="L66" s="96">
        <f t="shared" si="22"/>
        <v>195.5</v>
      </c>
      <c r="M66" s="96">
        <f t="shared" si="23"/>
        <v>97.75</v>
      </c>
    </row>
    <row r="67" spans="1:13" x14ac:dyDescent="0.2">
      <c r="A67" s="97">
        <v>70000</v>
      </c>
      <c r="B67" s="96">
        <f t="shared" si="24"/>
        <v>1190</v>
      </c>
      <c r="C67" s="96">
        <f t="shared" si="13"/>
        <v>1090.83</v>
      </c>
      <c r="D67" s="96">
        <f t="shared" si="14"/>
        <v>991.67</v>
      </c>
      <c r="E67" s="96">
        <f t="shared" si="15"/>
        <v>892.5</v>
      </c>
      <c r="F67" s="96">
        <f t="shared" si="16"/>
        <v>793.33</v>
      </c>
      <c r="G67" s="96">
        <f t="shared" si="17"/>
        <v>694.17</v>
      </c>
      <c r="H67" s="96">
        <f t="shared" si="18"/>
        <v>595</v>
      </c>
      <c r="I67" s="96">
        <f t="shared" si="19"/>
        <v>495.83</v>
      </c>
      <c r="J67" s="96">
        <f t="shared" si="20"/>
        <v>396.67</v>
      </c>
      <c r="K67" s="96">
        <f t="shared" si="21"/>
        <v>297.5</v>
      </c>
      <c r="L67" s="96">
        <f t="shared" si="22"/>
        <v>198.33</v>
      </c>
      <c r="M67" s="96">
        <f t="shared" si="23"/>
        <v>99.17</v>
      </c>
    </row>
    <row r="68" spans="1:13" x14ac:dyDescent="0.2">
      <c r="A68" s="97">
        <v>71000</v>
      </c>
      <c r="B68" s="96">
        <f t="shared" si="24"/>
        <v>1207</v>
      </c>
      <c r="C68" s="96">
        <f t="shared" si="13"/>
        <v>1106.42</v>
      </c>
      <c r="D68" s="96">
        <f t="shared" si="14"/>
        <v>1005.83</v>
      </c>
      <c r="E68" s="96">
        <f t="shared" si="15"/>
        <v>905.25</v>
      </c>
      <c r="F68" s="96">
        <f t="shared" si="16"/>
        <v>804.67</v>
      </c>
      <c r="G68" s="96">
        <f t="shared" si="17"/>
        <v>704.08</v>
      </c>
      <c r="H68" s="96">
        <f t="shared" si="18"/>
        <v>603.5</v>
      </c>
      <c r="I68" s="96">
        <f t="shared" si="19"/>
        <v>502.92</v>
      </c>
      <c r="J68" s="96">
        <f t="shared" si="20"/>
        <v>402.33</v>
      </c>
      <c r="K68" s="96">
        <f t="shared" si="21"/>
        <v>301.75</v>
      </c>
      <c r="L68" s="96">
        <f t="shared" si="22"/>
        <v>201.17</v>
      </c>
      <c r="M68" s="96">
        <f t="shared" si="23"/>
        <v>100.58</v>
      </c>
    </row>
    <row r="69" spans="1:13" x14ac:dyDescent="0.2">
      <c r="A69" s="97">
        <v>72000</v>
      </c>
      <c r="B69" s="96">
        <f t="shared" si="24"/>
        <v>1224</v>
      </c>
      <c r="C69" s="96">
        <f t="shared" ref="C69:C100" si="25">SUM($B69/12)*11</f>
        <v>1122</v>
      </c>
      <c r="D69" s="96">
        <f t="shared" ref="D69:D100" si="26">SUM($B69/12)*10</f>
        <v>1020</v>
      </c>
      <c r="E69" s="96">
        <f t="shared" ref="E69:E100" si="27">SUM($B69/12)*9</f>
        <v>918</v>
      </c>
      <c r="F69" s="96">
        <f t="shared" ref="F69:F100" si="28">SUM($B69/12)*8</f>
        <v>816</v>
      </c>
      <c r="G69" s="96">
        <f t="shared" ref="G69:G100" si="29">SUM($B69/12)*7</f>
        <v>714</v>
      </c>
      <c r="H69" s="96">
        <f t="shared" ref="H69:H100" si="30">SUM($B69/12)*6</f>
        <v>612</v>
      </c>
      <c r="I69" s="96">
        <f t="shared" ref="I69:I100" si="31">SUM($B69/12)*5</f>
        <v>510</v>
      </c>
      <c r="J69" s="96">
        <f t="shared" ref="J69:J100" si="32">SUM($B69/12)*4</f>
        <v>408</v>
      </c>
      <c r="K69" s="96">
        <f t="shared" ref="K69:K100" si="33">SUM($B69/12)*3</f>
        <v>306</v>
      </c>
      <c r="L69" s="96">
        <f t="shared" ref="L69:L100" si="34">SUM($B69/12)*2</f>
        <v>204</v>
      </c>
      <c r="M69" s="96">
        <f t="shared" ref="M69:M100" si="35">SUM($B69/12)</f>
        <v>102</v>
      </c>
    </row>
    <row r="70" spans="1:13" x14ac:dyDescent="0.2">
      <c r="A70" s="97">
        <v>73000</v>
      </c>
      <c r="B70" s="96">
        <f t="shared" si="24"/>
        <v>1241</v>
      </c>
      <c r="C70" s="96">
        <f t="shared" si="25"/>
        <v>1137.58</v>
      </c>
      <c r="D70" s="96">
        <f t="shared" si="26"/>
        <v>1034.17</v>
      </c>
      <c r="E70" s="96">
        <f t="shared" si="27"/>
        <v>930.75</v>
      </c>
      <c r="F70" s="96">
        <f t="shared" si="28"/>
        <v>827.33</v>
      </c>
      <c r="G70" s="96">
        <f t="shared" si="29"/>
        <v>723.92</v>
      </c>
      <c r="H70" s="96">
        <f t="shared" si="30"/>
        <v>620.5</v>
      </c>
      <c r="I70" s="96">
        <f t="shared" si="31"/>
        <v>517.08000000000004</v>
      </c>
      <c r="J70" s="96">
        <f t="shared" si="32"/>
        <v>413.67</v>
      </c>
      <c r="K70" s="96">
        <f t="shared" si="33"/>
        <v>310.25</v>
      </c>
      <c r="L70" s="96">
        <f t="shared" si="34"/>
        <v>206.83</v>
      </c>
      <c r="M70" s="96">
        <f t="shared" si="35"/>
        <v>103.42</v>
      </c>
    </row>
    <row r="71" spans="1:13" x14ac:dyDescent="0.2">
      <c r="A71" s="97">
        <v>74000</v>
      </c>
      <c r="B71" s="96">
        <f t="shared" si="24"/>
        <v>1258</v>
      </c>
      <c r="C71" s="96">
        <f t="shared" si="25"/>
        <v>1153.17</v>
      </c>
      <c r="D71" s="96">
        <f t="shared" si="26"/>
        <v>1048.33</v>
      </c>
      <c r="E71" s="96">
        <f t="shared" si="27"/>
        <v>943.5</v>
      </c>
      <c r="F71" s="96">
        <f t="shared" si="28"/>
        <v>838.67</v>
      </c>
      <c r="G71" s="96">
        <f t="shared" si="29"/>
        <v>733.83</v>
      </c>
      <c r="H71" s="96">
        <f t="shared" si="30"/>
        <v>629</v>
      </c>
      <c r="I71" s="96">
        <f t="shared" si="31"/>
        <v>524.16999999999996</v>
      </c>
      <c r="J71" s="96">
        <f t="shared" si="32"/>
        <v>419.33</v>
      </c>
      <c r="K71" s="96">
        <f t="shared" si="33"/>
        <v>314.5</v>
      </c>
      <c r="L71" s="96">
        <f t="shared" si="34"/>
        <v>209.67</v>
      </c>
      <c r="M71" s="96">
        <f t="shared" si="35"/>
        <v>104.83</v>
      </c>
    </row>
    <row r="72" spans="1:13" x14ac:dyDescent="0.2">
      <c r="A72" s="97">
        <v>75000</v>
      </c>
      <c r="B72" s="96">
        <f t="shared" si="24"/>
        <v>1275</v>
      </c>
      <c r="C72" s="96">
        <f t="shared" si="25"/>
        <v>1168.75</v>
      </c>
      <c r="D72" s="96">
        <f t="shared" si="26"/>
        <v>1062.5</v>
      </c>
      <c r="E72" s="96">
        <f t="shared" si="27"/>
        <v>956.25</v>
      </c>
      <c r="F72" s="96">
        <f t="shared" si="28"/>
        <v>850</v>
      </c>
      <c r="G72" s="96">
        <f t="shared" si="29"/>
        <v>743.75</v>
      </c>
      <c r="H72" s="96">
        <f t="shared" si="30"/>
        <v>637.5</v>
      </c>
      <c r="I72" s="96">
        <f t="shared" si="31"/>
        <v>531.25</v>
      </c>
      <c r="J72" s="96">
        <f t="shared" si="32"/>
        <v>425</v>
      </c>
      <c r="K72" s="96">
        <f t="shared" si="33"/>
        <v>318.75</v>
      </c>
      <c r="L72" s="96">
        <f t="shared" si="34"/>
        <v>212.5</v>
      </c>
      <c r="M72" s="96">
        <f t="shared" si="35"/>
        <v>106.25</v>
      </c>
    </row>
    <row r="73" spans="1:13" x14ac:dyDescent="0.2">
      <c r="A73" s="97">
        <v>76000</v>
      </c>
      <c r="B73" s="96">
        <f t="shared" si="24"/>
        <v>1292</v>
      </c>
      <c r="C73" s="96">
        <f t="shared" si="25"/>
        <v>1184.33</v>
      </c>
      <c r="D73" s="96">
        <f t="shared" si="26"/>
        <v>1076.67</v>
      </c>
      <c r="E73" s="96">
        <f t="shared" si="27"/>
        <v>969</v>
      </c>
      <c r="F73" s="96">
        <f t="shared" si="28"/>
        <v>861.33</v>
      </c>
      <c r="G73" s="96">
        <f t="shared" si="29"/>
        <v>753.67</v>
      </c>
      <c r="H73" s="96">
        <f t="shared" si="30"/>
        <v>646</v>
      </c>
      <c r="I73" s="96">
        <f t="shared" si="31"/>
        <v>538.33000000000004</v>
      </c>
      <c r="J73" s="96">
        <f t="shared" si="32"/>
        <v>430.67</v>
      </c>
      <c r="K73" s="96">
        <f t="shared" si="33"/>
        <v>323</v>
      </c>
      <c r="L73" s="96">
        <f t="shared" si="34"/>
        <v>215.33</v>
      </c>
      <c r="M73" s="96">
        <f t="shared" si="35"/>
        <v>107.67</v>
      </c>
    </row>
    <row r="74" spans="1:13" x14ac:dyDescent="0.2">
      <c r="A74" s="97">
        <v>77000</v>
      </c>
      <c r="B74" s="96">
        <f t="shared" si="24"/>
        <v>1309</v>
      </c>
      <c r="C74" s="96">
        <f t="shared" si="25"/>
        <v>1199.92</v>
      </c>
      <c r="D74" s="96">
        <f t="shared" si="26"/>
        <v>1090.83</v>
      </c>
      <c r="E74" s="96">
        <f t="shared" si="27"/>
        <v>981.75</v>
      </c>
      <c r="F74" s="96">
        <f t="shared" si="28"/>
        <v>872.67</v>
      </c>
      <c r="G74" s="96">
        <f t="shared" si="29"/>
        <v>763.58</v>
      </c>
      <c r="H74" s="96">
        <f t="shared" si="30"/>
        <v>654.5</v>
      </c>
      <c r="I74" s="96">
        <f t="shared" si="31"/>
        <v>545.41999999999996</v>
      </c>
      <c r="J74" s="96">
        <f t="shared" si="32"/>
        <v>436.33</v>
      </c>
      <c r="K74" s="96">
        <f t="shared" si="33"/>
        <v>327.25</v>
      </c>
      <c r="L74" s="96">
        <f t="shared" si="34"/>
        <v>218.17</v>
      </c>
      <c r="M74" s="96">
        <f t="shared" si="35"/>
        <v>109.08</v>
      </c>
    </row>
    <row r="75" spans="1:13" x14ac:dyDescent="0.2">
      <c r="A75" s="97">
        <v>78000</v>
      </c>
      <c r="B75" s="96">
        <f t="shared" si="24"/>
        <v>1326</v>
      </c>
      <c r="C75" s="96">
        <f t="shared" si="25"/>
        <v>1215.5</v>
      </c>
      <c r="D75" s="96">
        <f t="shared" si="26"/>
        <v>1105</v>
      </c>
      <c r="E75" s="96">
        <f t="shared" si="27"/>
        <v>994.5</v>
      </c>
      <c r="F75" s="96">
        <f t="shared" si="28"/>
        <v>884</v>
      </c>
      <c r="G75" s="96">
        <f t="shared" si="29"/>
        <v>773.5</v>
      </c>
      <c r="H75" s="96">
        <f t="shared" si="30"/>
        <v>663</v>
      </c>
      <c r="I75" s="96">
        <f t="shared" si="31"/>
        <v>552.5</v>
      </c>
      <c r="J75" s="96">
        <f t="shared" si="32"/>
        <v>442</v>
      </c>
      <c r="K75" s="96">
        <f t="shared" si="33"/>
        <v>331.5</v>
      </c>
      <c r="L75" s="96">
        <f t="shared" si="34"/>
        <v>221</v>
      </c>
      <c r="M75" s="96">
        <f t="shared" si="35"/>
        <v>110.5</v>
      </c>
    </row>
    <row r="76" spans="1:13" x14ac:dyDescent="0.2">
      <c r="A76" s="97">
        <v>79000</v>
      </c>
      <c r="B76" s="96">
        <f t="shared" si="24"/>
        <v>1343</v>
      </c>
      <c r="C76" s="96">
        <f t="shared" si="25"/>
        <v>1231.08</v>
      </c>
      <c r="D76" s="96">
        <f t="shared" si="26"/>
        <v>1119.17</v>
      </c>
      <c r="E76" s="96">
        <f t="shared" si="27"/>
        <v>1007.25</v>
      </c>
      <c r="F76" s="96">
        <f t="shared" si="28"/>
        <v>895.33</v>
      </c>
      <c r="G76" s="96">
        <f t="shared" si="29"/>
        <v>783.42</v>
      </c>
      <c r="H76" s="96">
        <f t="shared" si="30"/>
        <v>671.5</v>
      </c>
      <c r="I76" s="96">
        <f t="shared" si="31"/>
        <v>559.58000000000004</v>
      </c>
      <c r="J76" s="96">
        <f t="shared" si="32"/>
        <v>447.67</v>
      </c>
      <c r="K76" s="96">
        <f t="shared" si="33"/>
        <v>335.75</v>
      </c>
      <c r="L76" s="96">
        <f t="shared" si="34"/>
        <v>223.83</v>
      </c>
      <c r="M76" s="96">
        <f t="shared" si="35"/>
        <v>111.92</v>
      </c>
    </row>
    <row r="77" spans="1:13" x14ac:dyDescent="0.2">
      <c r="A77" s="97">
        <f t="shared" ref="A77:A108" si="36">SUM(A76+1000)</f>
        <v>80000</v>
      </c>
      <c r="B77" s="96">
        <f t="shared" si="24"/>
        <v>1360</v>
      </c>
      <c r="C77" s="96">
        <f t="shared" si="25"/>
        <v>1246.67</v>
      </c>
      <c r="D77" s="96">
        <f t="shared" si="26"/>
        <v>1133.33</v>
      </c>
      <c r="E77" s="96">
        <f t="shared" si="27"/>
        <v>1020</v>
      </c>
      <c r="F77" s="96">
        <f t="shared" si="28"/>
        <v>906.67</v>
      </c>
      <c r="G77" s="96">
        <f t="shared" si="29"/>
        <v>793.33</v>
      </c>
      <c r="H77" s="96">
        <f t="shared" si="30"/>
        <v>680</v>
      </c>
      <c r="I77" s="96">
        <f t="shared" si="31"/>
        <v>566.66999999999996</v>
      </c>
      <c r="J77" s="96">
        <f t="shared" si="32"/>
        <v>453.33</v>
      </c>
      <c r="K77" s="96">
        <f t="shared" si="33"/>
        <v>340</v>
      </c>
      <c r="L77" s="96">
        <f t="shared" si="34"/>
        <v>226.67</v>
      </c>
      <c r="M77" s="96">
        <f t="shared" si="35"/>
        <v>113.33</v>
      </c>
    </row>
    <row r="78" spans="1:13" x14ac:dyDescent="0.2">
      <c r="A78" s="97">
        <f t="shared" si="36"/>
        <v>81000</v>
      </c>
      <c r="B78" s="96">
        <f t="shared" ref="B78:B109" si="37">SUM(B77+20)</f>
        <v>1380</v>
      </c>
      <c r="C78" s="96">
        <f t="shared" si="25"/>
        <v>1265</v>
      </c>
      <c r="D78" s="96">
        <f t="shared" si="26"/>
        <v>1150</v>
      </c>
      <c r="E78" s="96">
        <f t="shared" si="27"/>
        <v>1035</v>
      </c>
      <c r="F78" s="96">
        <f t="shared" si="28"/>
        <v>920</v>
      </c>
      <c r="G78" s="96">
        <f t="shared" si="29"/>
        <v>805</v>
      </c>
      <c r="H78" s="96">
        <f t="shared" si="30"/>
        <v>690</v>
      </c>
      <c r="I78" s="96">
        <f t="shared" si="31"/>
        <v>575</v>
      </c>
      <c r="J78" s="96">
        <f t="shared" si="32"/>
        <v>460</v>
      </c>
      <c r="K78" s="96">
        <f t="shared" si="33"/>
        <v>345</v>
      </c>
      <c r="L78" s="96">
        <f t="shared" si="34"/>
        <v>230</v>
      </c>
      <c r="M78" s="96">
        <f t="shared" si="35"/>
        <v>115</v>
      </c>
    </row>
    <row r="79" spans="1:13" x14ac:dyDescent="0.2">
      <c r="A79" s="97">
        <f t="shared" si="36"/>
        <v>82000</v>
      </c>
      <c r="B79" s="96">
        <f t="shared" si="37"/>
        <v>1400</v>
      </c>
      <c r="C79" s="96">
        <f t="shared" si="25"/>
        <v>1283.33</v>
      </c>
      <c r="D79" s="96">
        <f t="shared" si="26"/>
        <v>1166.67</v>
      </c>
      <c r="E79" s="96">
        <f t="shared" si="27"/>
        <v>1050</v>
      </c>
      <c r="F79" s="96">
        <f t="shared" si="28"/>
        <v>933.33</v>
      </c>
      <c r="G79" s="96">
        <f t="shared" si="29"/>
        <v>816.67</v>
      </c>
      <c r="H79" s="96">
        <f t="shared" si="30"/>
        <v>700</v>
      </c>
      <c r="I79" s="96">
        <f t="shared" si="31"/>
        <v>583.33000000000004</v>
      </c>
      <c r="J79" s="96">
        <f t="shared" si="32"/>
        <v>466.67</v>
      </c>
      <c r="K79" s="96">
        <f t="shared" si="33"/>
        <v>350</v>
      </c>
      <c r="L79" s="96">
        <f t="shared" si="34"/>
        <v>233.33</v>
      </c>
      <c r="M79" s="96">
        <f t="shared" si="35"/>
        <v>116.67</v>
      </c>
    </row>
    <row r="80" spans="1:13" x14ac:dyDescent="0.2">
      <c r="A80" s="97">
        <f t="shared" si="36"/>
        <v>83000</v>
      </c>
      <c r="B80" s="96">
        <f t="shared" si="37"/>
        <v>1420</v>
      </c>
      <c r="C80" s="96">
        <f t="shared" si="25"/>
        <v>1301.67</v>
      </c>
      <c r="D80" s="96">
        <f t="shared" si="26"/>
        <v>1183.33</v>
      </c>
      <c r="E80" s="96">
        <f t="shared" si="27"/>
        <v>1065</v>
      </c>
      <c r="F80" s="96">
        <f t="shared" si="28"/>
        <v>946.67</v>
      </c>
      <c r="G80" s="96">
        <f t="shared" si="29"/>
        <v>828.33</v>
      </c>
      <c r="H80" s="96">
        <f t="shared" si="30"/>
        <v>710</v>
      </c>
      <c r="I80" s="96">
        <f t="shared" si="31"/>
        <v>591.66999999999996</v>
      </c>
      <c r="J80" s="96">
        <f t="shared" si="32"/>
        <v>473.33</v>
      </c>
      <c r="K80" s="96">
        <f t="shared" si="33"/>
        <v>355</v>
      </c>
      <c r="L80" s="96">
        <f t="shared" si="34"/>
        <v>236.67</v>
      </c>
      <c r="M80" s="96">
        <f t="shared" si="35"/>
        <v>118.33</v>
      </c>
    </row>
    <row r="81" spans="1:13" x14ac:dyDescent="0.2">
      <c r="A81" s="97">
        <f t="shared" si="36"/>
        <v>84000</v>
      </c>
      <c r="B81" s="96">
        <f t="shared" si="37"/>
        <v>1440</v>
      </c>
      <c r="C81" s="96">
        <f t="shared" si="25"/>
        <v>1320</v>
      </c>
      <c r="D81" s="96">
        <f t="shared" si="26"/>
        <v>1200</v>
      </c>
      <c r="E81" s="96">
        <f t="shared" si="27"/>
        <v>1080</v>
      </c>
      <c r="F81" s="96">
        <f t="shared" si="28"/>
        <v>960</v>
      </c>
      <c r="G81" s="96">
        <f t="shared" si="29"/>
        <v>840</v>
      </c>
      <c r="H81" s="96">
        <f t="shared" si="30"/>
        <v>720</v>
      </c>
      <c r="I81" s="96">
        <f t="shared" si="31"/>
        <v>600</v>
      </c>
      <c r="J81" s="96">
        <f t="shared" si="32"/>
        <v>480</v>
      </c>
      <c r="K81" s="96">
        <f t="shared" si="33"/>
        <v>360</v>
      </c>
      <c r="L81" s="96">
        <f t="shared" si="34"/>
        <v>240</v>
      </c>
      <c r="M81" s="96">
        <f t="shared" si="35"/>
        <v>120</v>
      </c>
    </row>
    <row r="82" spans="1:13" x14ac:dyDescent="0.2">
      <c r="A82" s="97">
        <f t="shared" si="36"/>
        <v>85000</v>
      </c>
      <c r="B82" s="96">
        <f t="shared" si="37"/>
        <v>1460</v>
      </c>
      <c r="C82" s="96">
        <f t="shared" si="25"/>
        <v>1338.33</v>
      </c>
      <c r="D82" s="96">
        <f t="shared" si="26"/>
        <v>1216.67</v>
      </c>
      <c r="E82" s="96">
        <f t="shared" si="27"/>
        <v>1095</v>
      </c>
      <c r="F82" s="96">
        <f t="shared" si="28"/>
        <v>973.33</v>
      </c>
      <c r="G82" s="96">
        <f t="shared" si="29"/>
        <v>851.67</v>
      </c>
      <c r="H82" s="96">
        <f t="shared" si="30"/>
        <v>730</v>
      </c>
      <c r="I82" s="96">
        <f t="shared" si="31"/>
        <v>608.33000000000004</v>
      </c>
      <c r="J82" s="96">
        <f t="shared" si="32"/>
        <v>486.67</v>
      </c>
      <c r="K82" s="96">
        <f t="shared" si="33"/>
        <v>365</v>
      </c>
      <c r="L82" s="96">
        <f t="shared" si="34"/>
        <v>243.33</v>
      </c>
      <c r="M82" s="96">
        <f t="shared" si="35"/>
        <v>121.67</v>
      </c>
    </row>
    <row r="83" spans="1:13" x14ac:dyDescent="0.2">
      <c r="A83" s="97">
        <f t="shared" si="36"/>
        <v>86000</v>
      </c>
      <c r="B83" s="96">
        <f t="shared" si="37"/>
        <v>1480</v>
      </c>
      <c r="C83" s="96">
        <f t="shared" si="25"/>
        <v>1356.67</v>
      </c>
      <c r="D83" s="96">
        <f t="shared" si="26"/>
        <v>1233.33</v>
      </c>
      <c r="E83" s="96">
        <f t="shared" si="27"/>
        <v>1110</v>
      </c>
      <c r="F83" s="96">
        <f t="shared" si="28"/>
        <v>986.67</v>
      </c>
      <c r="G83" s="96">
        <f t="shared" si="29"/>
        <v>863.33</v>
      </c>
      <c r="H83" s="96">
        <f t="shared" si="30"/>
        <v>740</v>
      </c>
      <c r="I83" s="96">
        <f t="shared" si="31"/>
        <v>616.66999999999996</v>
      </c>
      <c r="J83" s="96">
        <f t="shared" si="32"/>
        <v>493.33</v>
      </c>
      <c r="K83" s="96">
        <f t="shared" si="33"/>
        <v>370</v>
      </c>
      <c r="L83" s="96">
        <f t="shared" si="34"/>
        <v>246.67</v>
      </c>
      <c r="M83" s="96">
        <f t="shared" si="35"/>
        <v>123.33</v>
      </c>
    </row>
    <row r="84" spans="1:13" x14ac:dyDescent="0.2">
      <c r="A84" s="97">
        <f t="shared" si="36"/>
        <v>87000</v>
      </c>
      <c r="B84" s="96">
        <f t="shared" si="37"/>
        <v>1500</v>
      </c>
      <c r="C84" s="96">
        <f t="shared" si="25"/>
        <v>1375</v>
      </c>
      <c r="D84" s="96">
        <f t="shared" si="26"/>
        <v>1250</v>
      </c>
      <c r="E84" s="96">
        <f t="shared" si="27"/>
        <v>1125</v>
      </c>
      <c r="F84" s="96">
        <f t="shared" si="28"/>
        <v>1000</v>
      </c>
      <c r="G84" s="96">
        <f t="shared" si="29"/>
        <v>875</v>
      </c>
      <c r="H84" s="96">
        <f t="shared" si="30"/>
        <v>750</v>
      </c>
      <c r="I84" s="96">
        <f t="shared" si="31"/>
        <v>625</v>
      </c>
      <c r="J84" s="96">
        <f t="shared" si="32"/>
        <v>500</v>
      </c>
      <c r="K84" s="96">
        <f t="shared" si="33"/>
        <v>375</v>
      </c>
      <c r="L84" s="96">
        <f t="shared" si="34"/>
        <v>250</v>
      </c>
      <c r="M84" s="96">
        <f t="shared" si="35"/>
        <v>125</v>
      </c>
    </row>
    <row r="85" spans="1:13" x14ac:dyDescent="0.2">
      <c r="A85" s="97">
        <f t="shared" si="36"/>
        <v>88000</v>
      </c>
      <c r="B85" s="96">
        <f t="shared" si="37"/>
        <v>1520</v>
      </c>
      <c r="C85" s="96">
        <f t="shared" si="25"/>
        <v>1393.33</v>
      </c>
      <c r="D85" s="96">
        <f t="shared" si="26"/>
        <v>1266.67</v>
      </c>
      <c r="E85" s="96">
        <f t="shared" si="27"/>
        <v>1140</v>
      </c>
      <c r="F85" s="96">
        <f t="shared" si="28"/>
        <v>1013.33</v>
      </c>
      <c r="G85" s="96">
        <f t="shared" si="29"/>
        <v>886.67</v>
      </c>
      <c r="H85" s="96">
        <f t="shared" si="30"/>
        <v>760</v>
      </c>
      <c r="I85" s="96">
        <f t="shared" si="31"/>
        <v>633.33000000000004</v>
      </c>
      <c r="J85" s="96">
        <f t="shared" si="32"/>
        <v>506.67</v>
      </c>
      <c r="K85" s="96">
        <f t="shared" si="33"/>
        <v>380</v>
      </c>
      <c r="L85" s="96">
        <f t="shared" si="34"/>
        <v>253.33</v>
      </c>
      <c r="M85" s="96">
        <f t="shared" si="35"/>
        <v>126.67</v>
      </c>
    </row>
    <row r="86" spans="1:13" x14ac:dyDescent="0.2">
      <c r="A86" s="97">
        <f t="shared" si="36"/>
        <v>89000</v>
      </c>
      <c r="B86" s="96">
        <f t="shared" si="37"/>
        <v>1540</v>
      </c>
      <c r="C86" s="96">
        <f t="shared" si="25"/>
        <v>1411.67</v>
      </c>
      <c r="D86" s="96">
        <f t="shared" si="26"/>
        <v>1283.33</v>
      </c>
      <c r="E86" s="96">
        <f t="shared" si="27"/>
        <v>1155</v>
      </c>
      <c r="F86" s="96">
        <f t="shared" si="28"/>
        <v>1026.67</v>
      </c>
      <c r="G86" s="96">
        <f t="shared" si="29"/>
        <v>898.33</v>
      </c>
      <c r="H86" s="96">
        <f t="shared" si="30"/>
        <v>770</v>
      </c>
      <c r="I86" s="96">
        <f t="shared" si="31"/>
        <v>641.66999999999996</v>
      </c>
      <c r="J86" s="96">
        <f t="shared" si="32"/>
        <v>513.33000000000004</v>
      </c>
      <c r="K86" s="96">
        <f t="shared" si="33"/>
        <v>385</v>
      </c>
      <c r="L86" s="96">
        <f t="shared" si="34"/>
        <v>256.67</v>
      </c>
      <c r="M86" s="96">
        <f t="shared" si="35"/>
        <v>128.33000000000001</v>
      </c>
    </row>
    <row r="87" spans="1:13" x14ac:dyDescent="0.2">
      <c r="A87" s="97">
        <f t="shared" si="36"/>
        <v>90000</v>
      </c>
      <c r="B87" s="96">
        <f t="shared" si="37"/>
        <v>1560</v>
      </c>
      <c r="C87" s="96">
        <f t="shared" si="25"/>
        <v>1430</v>
      </c>
      <c r="D87" s="96">
        <f t="shared" si="26"/>
        <v>1300</v>
      </c>
      <c r="E87" s="96">
        <f t="shared" si="27"/>
        <v>1170</v>
      </c>
      <c r="F87" s="96">
        <f t="shared" si="28"/>
        <v>1040</v>
      </c>
      <c r="G87" s="96">
        <f t="shared" si="29"/>
        <v>910</v>
      </c>
      <c r="H87" s="96">
        <f t="shared" si="30"/>
        <v>780</v>
      </c>
      <c r="I87" s="96">
        <f t="shared" si="31"/>
        <v>650</v>
      </c>
      <c r="J87" s="96">
        <f t="shared" si="32"/>
        <v>520</v>
      </c>
      <c r="K87" s="96">
        <f t="shared" si="33"/>
        <v>390</v>
      </c>
      <c r="L87" s="96">
        <f t="shared" si="34"/>
        <v>260</v>
      </c>
      <c r="M87" s="96">
        <f t="shared" si="35"/>
        <v>130</v>
      </c>
    </row>
    <row r="88" spans="1:13" x14ac:dyDescent="0.2">
      <c r="A88" s="97">
        <f t="shared" si="36"/>
        <v>91000</v>
      </c>
      <c r="B88" s="96">
        <f t="shared" si="37"/>
        <v>1580</v>
      </c>
      <c r="C88" s="96">
        <f t="shared" si="25"/>
        <v>1448.33</v>
      </c>
      <c r="D88" s="96">
        <f t="shared" si="26"/>
        <v>1316.67</v>
      </c>
      <c r="E88" s="96">
        <f t="shared" si="27"/>
        <v>1185</v>
      </c>
      <c r="F88" s="96">
        <f t="shared" si="28"/>
        <v>1053.33</v>
      </c>
      <c r="G88" s="96">
        <f t="shared" si="29"/>
        <v>921.67</v>
      </c>
      <c r="H88" s="96">
        <f t="shared" si="30"/>
        <v>790</v>
      </c>
      <c r="I88" s="96">
        <f t="shared" si="31"/>
        <v>658.33</v>
      </c>
      <c r="J88" s="96">
        <f t="shared" si="32"/>
        <v>526.66999999999996</v>
      </c>
      <c r="K88" s="96">
        <f t="shared" si="33"/>
        <v>395</v>
      </c>
      <c r="L88" s="96">
        <f t="shared" si="34"/>
        <v>263.33</v>
      </c>
      <c r="M88" s="96">
        <f t="shared" si="35"/>
        <v>131.66999999999999</v>
      </c>
    </row>
    <row r="89" spans="1:13" x14ac:dyDescent="0.2">
      <c r="A89" s="97">
        <f t="shared" si="36"/>
        <v>92000</v>
      </c>
      <c r="B89" s="96">
        <f t="shared" si="37"/>
        <v>1600</v>
      </c>
      <c r="C89" s="96">
        <f t="shared" si="25"/>
        <v>1466.67</v>
      </c>
      <c r="D89" s="96">
        <f t="shared" si="26"/>
        <v>1333.33</v>
      </c>
      <c r="E89" s="96">
        <f t="shared" si="27"/>
        <v>1200</v>
      </c>
      <c r="F89" s="96">
        <f t="shared" si="28"/>
        <v>1066.67</v>
      </c>
      <c r="G89" s="96">
        <f t="shared" si="29"/>
        <v>933.33</v>
      </c>
      <c r="H89" s="96">
        <f t="shared" si="30"/>
        <v>800</v>
      </c>
      <c r="I89" s="96">
        <f t="shared" si="31"/>
        <v>666.67</v>
      </c>
      <c r="J89" s="96">
        <f t="shared" si="32"/>
        <v>533.33000000000004</v>
      </c>
      <c r="K89" s="96">
        <f t="shared" si="33"/>
        <v>400</v>
      </c>
      <c r="L89" s="96">
        <f t="shared" si="34"/>
        <v>266.67</v>
      </c>
      <c r="M89" s="96">
        <f t="shared" si="35"/>
        <v>133.33000000000001</v>
      </c>
    </row>
    <row r="90" spans="1:13" x14ac:dyDescent="0.2">
      <c r="A90" s="97">
        <f t="shared" si="36"/>
        <v>93000</v>
      </c>
      <c r="B90" s="96">
        <f t="shared" si="37"/>
        <v>1620</v>
      </c>
      <c r="C90" s="96">
        <f t="shared" si="25"/>
        <v>1485</v>
      </c>
      <c r="D90" s="96">
        <f t="shared" si="26"/>
        <v>1350</v>
      </c>
      <c r="E90" s="96">
        <f t="shared" si="27"/>
        <v>1215</v>
      </c>
      <c r="F90" s="96">
        <f t="shared" si="28"/>
        <v>1080</v>
      </c>
      <c r="G90" s="96">
        <f t="shared" si="29"/>
        <v>945</v>
      </c>
      <c r="H90" s="96">
        <f t="shared" si="30"/>
        <v>810</v>
      </c>
      <c r="I90" s="96">
        <f t="shared" si="31"/>
        <v>675</v>
      </c>
      <c r="J90" s="96">
        <f t="shared" si="32"/>
        <v>540</v>
      </c>
      <c r="K90" s="96">
        <f t="shared" si="33"/>
        <v>405</v>
      </c>
      <c r="L90" s="96">
        <f t="shared" si="34"/>
        <v>270</v>
      </c>
      <c r="M90" s="96">
        <f t="shared" si="35"/>
        <v>135</v>
      </c>
    </row>
    <row r="91" spans="1:13" x14ac:dyDescent="0.2">
      <c r="A91" s="97">
        <f t="shared" si="36"/>
        <v>94000</v>
      </c>
      <c r="B91" s="96">
        <f t="shared" si="37"/>
        <v>1640</v>
      </c>
      <c r="C91" s="96">
        <f t="shared" si="25"/>
        <v>1503.33</v>
      </c>
      <c r="D91" s="96">
        <f t="shared" si="26"/>
        <v>1366.67</v>
      </c>
      <c r="E91" s="96">
        <f t="shared" si="27"/>
        <v>1230</v>
      </c>
      <c r="F91" s="96">
        <f t="shared" si="28"/>
        <v>1093.33</v>
      </c>
      <c r="G91" s="96">
        <f t="shared" si="29"/>
        <v>956.67</v>
      </c>
      <c r="H91" s="96">
        <f t="shared" si="30"/>
        <v>820</v>
      </c>
      <c r="I91" s="96">
        <f t="shared" si="31"/>
        <v>683.33</v>
      </c>
      <c r="J91" s="96">
        <f t="shared" si="32"/>
        <v>546.66999999999996</v>
      </c>
      <c r="K91" s="96">
        <f t="shared" si="33"/>
        <v>410</v>
      </c>
      <c r="L91" s="96">
        <f t="shared" si="34"/>
        <v>273.33</v>
      </c>
      <c r="M91" s="96">
        <f t="shared" si="35"/>
        <v>136.66999999999999</v>
      </c>
    </row>
    <row r="92" spans="1:13" x14ac:dyDescent="0.2">
      <c r="A92" s="97">
        <f t="shared" si="36"/>
        <v>95000</v>
      </c>
      <c r="B92" s="96">
        <f t="shared" si="37"/>
        <v>1660</v>
      </c>
      <c r="C92" s="96">
        <f t="shared" si="25"/>
        <v>1521.67</v>
      </c>
      <c r="D92" s="96">
        <f t="shared" si="26"/>
        <v>1383.33</v>
      </c>
      <c r="E92" s="96">
        <f t="shared" si="27"/>
        <v>1245</v>
      </c>
      <c r="F92" s="96">
        <f t="shared" si="28"/>
        <v>1106.67</v>
      </c>
      <c r="G92" s="96">
        <f t="shared" si="29"/>
        <v>968.33</v>
      </c>
      <c r="H92" s="96">
        <f t="shared" si="30"/>
        <v>830</v>
      </c>
      <c r="I92" s="96">
        <f t="shared" si="31"/>
        <v>691.67</v>
      </c>
      <c r="J92" s="96">
        <f t="shared" si="32"/>
        <v>553.33000000000004</v>
      </c>
      <c r="K92" s="96">
        <f t="shared" si="33"/>
        <v>415</v>
      </c>
      <c r="L92" s="96">
        <f t="shared" si="34"/>
        <v>276.67</v>
      </c>
      <c r="M92" s="96">
        <f t="shared" si="35"/>
        <v>138.33000000000001</v>
      </c>
    </row>
    <row r="93" spans="1:13" x14ac:dyDescent="0.2">
      <c r="A93" s="97">
        <f t="shared" si="36"/>
        <v>96000</v>
      </c>
      <c r="B93" s="96">
        <f t="shared" si="37"/>
        <v>1680</v>
      </c>
      <c r="C93" s="96">
        <f t="shared" si="25"/>
        <v>1540</v>
      </c>
      <c r="D93" s="96">
        <f t="shared" si="26"/>
        <v>1400</v>
      </c>
      <c r="E93" s="96">
        <f t="shared" si="27"/>
        <v>1260</v>
      </c>
      <c r="F93" s="96">
        <f t="shared" si="28"/>
        <v>1120</v>
      </c>
      <c r="G93" s="96">
        <f t="shared" si="29"/>
        <v>980</v>
      </c>
      <c r="H93" s="96">
        <f t="shared" si="30"/>
        <v>840</v>
      </c>
      <c r="I93" s="96">
        <f t="shared" si="31"/>
        <v>700</v>
      </c>
      <c r="J93" s="96">
        <f t="shared" si="32"/>
        <v>560</v>
      </c>
      <c r="K93" s="96">
        <f t="shared" si="33"/>
        <v>420</v>
      </c>
      <c r="L93" s="96">
        <f t="shared" si="34"/>
        <v>280</v>
      </c>
      <c r="M93" s="96">
        <f t="shared" si="35"/>
        <v>140</v>
      </c>
    </row>
    <row r="94" spans="1:13" x14ac:dyDescent="0.2">
      <c r="A94" s="97">
        <f t="shared" si="36"/>
        <v>97000</v>
      </c>
      <c r="B94" s="96">
        <f t="shared" si="37"/>
        <v>1700</v>
      </c>
      <c r="C94" s="96">
        <f t="shared" si="25"/>
        <v>1558.33</v>
      </c>
      <c r="D94" s="96">
        <f t="shared" si="26"/>
        <v>1416.67</v>
      </c>
      <c r="E94" s="96">
        <f t="shared" si="27"/>
        <v>1275</v>
      </c>
      <c r="F94" s="96">
        <f t="shared" si="28"/>
        <v>1133.33</v>
      </c>
      <c r="G94" s="96">
        <f t="shared" si="29"/>
        <v>991.67</v>
      </c>
      <c r="H94" s="96">
        <f t="shared" si="30"/>
        <v>850</v>
      </c>
      <c r="I94" s="96">
        <f t="shared" si="31"/>
        <v>708.33</v>
      </c>
      <c r="J94" s="96">
        <f t="shared" si="32"/>
        <v>566.66999999999996</v>
      </c>
      <c r="K94" s="96">
        <f t="shared" si="33"/>
        <v>425</v>
      </c>
      <c r="L94" s="96">
        <f t="shared" si="34"/>
        <v>283.33</v>
      </c>
      <c r="M94" s="96">
        <f t="shared" si="35"/>
        <v>141.66999999999999</v>
      </c>
    </row>
    <row r="95" spans="1:13" x14ac:dyDescent="0.2">
      <c r="A95" s="97">
        <f t="shared" si="36"/>
        <v>98000</v>
      </c>
      <c r="B95" s="96">
        <f t="shared" si="37"/>
        <v>1720</v>
      </c>
      <c r="C95" s="96">
        <f t="shared" si="25"/>
        <v>1576.67</v>
      </c>
      <c r="D95" s="96">
        <f t="shared" si="26"/>
        <v>1433.33</v>
      </c>
      <c r="E95" s="96">
        <f t="shared" si="27"/>
        <v>1290</v>
      </c>
      <c r="F95" s="96">
        <f t="shared" si="28"/>
        <v>1146.67</v>
      </c>
      <c r="G95" s="96">
        <f t="shared" si="29"/>
        <v>1003.33</v>
      </c>
      <c r="H95" s="96">
        <f t="shared" si="30"/>
        <v>860</v>
      </c>
      <c r="I95" s="96">
        <f t="shared" si="31"/>
        <v>716.67</v>
      </c>
      <c r="J95" s="96">
        <f t="shared" si="32"/>
        <v>573.33000000000004</v>
      </c>
      <c r="K95" s="96">
        <f t="shared" si="33"/>
        <v>430</v>
      </c>
      <c r="L95" s="96">
        <f t="shared" si="34"/>
        <v>286.67</v>
      </c>
      <c r="M95" s="96">
        <f t="shared" si="35"/>
        <v>143.33000000000001</v>
      </c>
    </row>
    <row r="96" spans="1:13" x14ac:dyDescent="0.2">
      <c r="A96" s="97">
        <f t="shared" si="36"/>
        <v>99000</v>
      </c>
      <c r="B96" s="96">
        <f t="shared" si="37"/>
        <v>1740</v>
      </c>
      <c r="C96" s="96">
        <f t="shared" si="25"/>
        <v>1595</v>
      </c>
      <c r="D96" s="96">
        <f t="shared" si="26"/>
        <v>1450</v>
      </c>
      <c r="E96" s="96">
        <f t="shared" si="27"/>
        <v>1305</v>
      </c>
      <c r="F96" s="96">
        <f t="shared" si="28"/>
        <v>1160</v>
      </c>
      <c r="G96" s="96">
        <f t="shared" si="29"/>
        <v>1015</v>
      </c>
      <c r="H96" s="96">
        <f t="shared" si="30"/>
        <v>870</v>
      </c>
      <c r="I96" s="96">
        <f t="shared" si="31"/>
        <v>725</v>
      </c>
      <c r="J96" s="96">
        <f t="shared" si="32"/>
        <v>580</v>
      </c>
      <c r="K96" s="96">
        <f t="shared" si="33"/>
        <v>435</v>
      </c>
      <c r="L96" s="96">
        <f t="shared" si="34"/>
        <v>290</v>
      </c>
      <c r="M96" s="96">
        <f t="shared" si="35"/>
        <v>145</v>
      </c>
    </row>
    <row r="97" spans="1:14" x14ac:dyDescent="0.2">
      <c r="A97" s="97">
        <f t="shared" si="36"/>
        <v>100000</v>
      </c>
      <c r="B97" s="96">
        <f t="shared" si="37"/>
        <v>1760</v>
      </c>
      <c r="C97" s="96">
        <f t="shared" si="25"/>
        <v>1613.33</v>
      </c>
      <c r="D97" s="96">
        <f t="shared" si="26"/>
        <v>1466.67</v>
      </c>
      <c r="E97" s="96">
        <f t="shared" si="27"/>
        <v>1320</v>
      </c>
      <c r="F97" s="96">
        <f t="shared" si="28"/>
        <v>1173.33</v>
      </c>
      <c r="G97" s="96">
        <f t="shared" si="29"/>
        <v>1026.67</v>
      </c>
      <c r="H97" s="96">
        <f t="shared" si="30"/>
        <v>880</v>
      </c>
      <c r="I97" s="96">
        <f t="shared" si="31"/>
        <v>733.33</v>
      </c>
      <c r="J97" s="96">
        <f t="shared" si="32"/>
        <v>586.66999999999996</v>
      </c>
      <c r="K97" s="96">
        <f t="shared" si="33"/>
        <v>440</v>
      </c>
      <c r="L97" s="96">
        <f t="shared" si="34"/>
        <v>293.33</v>
      </c>
      <c r="M97" s="96">
        <f t="shared" si="35"/>
        <v>146.66999999999999</v>
      </c>
    </row>
    <row r="98" spans="1:14" x14ac:dyDescent="0.2">
      <c r="A98" s="97">
        <f t="shared" si="36"/>
        <v>101000</v>
      </c>
      <c r="B98" s="96">
        <f t="shared" si="37"/>
        <v>1780</v>
      </c>
      <c r="C98" s="96">
        <f t="shared" si="25"/>
        <v>1631.67</v>
      </c>
      <c r="D98" s="96">
        <f t="shared" si="26"/>
        <v>1483.33</v>
      </c>
      <c r="E98" s="96">
        <f t="shared" si="27"/>
        <v>1335</v>
      </c>
      <c r="F98" s="96">
        <f t="shared" si="28"/>
        <v>1186.67</v>
      </c>
      <c r="G98" s="96">
        <f t="shared" si="29"/>
        <v>1038.33</v>
      </c>
      <c r="H98" s="96">
        <f t="shared" si="30"/>
        <v>890</v>
      </c>
      <c r="I98" s="96">
        <f t="shared" si="31"/>
        <v>741.67</v>
      </c>
      <c r="J98" s="96">
        <f t="shared" si="32"/>
        <v>593.33000000000004</v>
      </c>
      <c r="K98" s="96">
        <f t="shared" si="33"/>
        <v>445</v>
      </c>
      <c r="L98" s="96">
        <f t="shared" si="34"/>
        <v>296.67</v>
      </c>
      <c r="M98" s="96">
        <f t="shared" si="35"/>
        <v>148.33000000000001</v>
      </c>
    </row>
    <row r="99" spans="1:14" x14ac:dyDescent="0.2">
      <c r="A99" s="97">
        <f t="shared" si="36"/>
        <v>102000</v>
      </c>
      <c r="B99" s="96">
        <f t="shared" si="37"/>
        <v>1800</v>
      </c>
      <c r="C99" s="96">
        <f t="shared" si="25"/>
        <v>1650</v>
      </c>
      <c r="D99" s="96">
        <f t="shared" si="26"/>
        <v>1500</v>
      </c>
      <c r="E99" s="96">
        <f t="shared" si="27"/>
        <v>1350</v>
      </c>
      <c r="F99" s="96">
        <f t="shared" si="28"/>
        <v>1200</v>
      </c>
      <c r="G99" s="96">
        <f t="shared" si="29"/>
        <v>1050</v>
      </c>
      <c r="H99" s="96">
        <f t="shared" si="30"/>
        <v>900</v>
      </c>
      <c r="I99" s="96">
        <f t="shared" si="31"/>
        <v>750</v>
      </c>
      <c r="J99" s="96">
        <f t="shared" si="32"/>
        <v>600</v>
      </c>
      <c r="K99" s="96">
        <f t="shared" si="33"/>
        <v>450</v>
      </c>
      <c r="L99" s="96">
        <f t="shared" si="34"/>
        <v>300</v>
      </c>
      <c r="M99" s="96">
        <f t="shared" si="35"/>
        <v>150</v>
      </c>
    </row>
    <row r="100" spans="1:14" x14ac:dyDescent="0.2">
      <c r="A100" s="97">
        <f t="shared" si="36"/>
        <v>103000</v>
      </c>
      <c r="B100" s="96">
        <f t="shared" si="37"/>
        <v>1820</v>
      </c>
      <c r="C100" s="96">
        <f t="shared" si="25"/>
        <v>1668.33</v>
      </c>
      <c r="D100" s="96">
        <f t="shared" si="26"/>
        <v>1516.67</v>
      </c>
      <c r="E100" s="96">
        <f t="shared" si="27"/>
        <v>1365</v>
      </c>
      <c r="F100" s="96">
        <f t="shared" si="28"/>
        <v>1213.33</v>
      </c>
      <c r="G100" s="96">
        <f t="shared" si="29"/>
        <v>1061.67</v>
      </c>
      <c r="H100" s="96">
        <f t="shared" si="30"/>
        <v>910</v>
      </c>
      <c r="I100" s="96">
        <f t="shared" si="31"/>
        <v>758.33</v>
      </c>
      <c r="J100" s="96">
        <f t="shared" si="32"/>
        <v>606.66999999999996</v>
      </c>
      <c r="K100" s="96">
        <f t="shared" si="33"/>
        <v>455</v>
      </c>
      <c r="L100" s="96">
        <f t="shared" si="34"/>
        <v>303.33</v>
      </c>
      <c r="M100" s="96">
        <f t="shared" si="35"/>
        <v>151.66999999999999</v>
      </c>
    </row>
    <row r="101" spans="1:14" x14ac:dyDescent="0.2">
      <c r="A101" s="97">
        <f t="shared" si="36"/>
        <v>104000</v>
      </c>
      <c r="B101" s="96">
        <f t="shared" si="37"/>
        <v>1840</v>
      </c>
      <c r="C101" s="96">
        <f t="shared" ref="C101:C126" si="38">SUM($B101/12)*11</f>
        <v>1686.67</v>
      </c>
      <c r="D101" s="96">
        <f t="shared" ref="D101:D126" si="39">SUM($B101/12)*10</f>
        <v>1533.33</v>
      </c>
      <c r="E101" s="96">
        <f t="shared" ref="E101:E126" si="40">SUM($B101/12)*9</f>
        <v>1380</v>
      </c>
      <c r="F101" s="96">
        <f t="shared" ref="F101:F126" si="41">SUM($B101/12)*8</f>
        <v>1226.67</v>
      </c>
      <c r="G101" s="96">
        <f t="shared" ref="G101:G126" si="42">SUM($B101/12)*7</f>
        <v>1073.33</v>
      </c>
      <c r="H101" s="96">
        <f t="shared" ref="H101:H126" si="43">SUM($B101/12)*6</f>
        <v>920</v>
      </c>
      <c r="I101" s="96">
        <f t="shared" ref="I101:I126" si="44">SUM($B101/12)*5</f>
        <v>766.67</v>
      </c>
      <c r="J101" s="96">
        <f t="shared" ref="J101:J126" si="45">SUM($B101/12)*4</f>
        <v>613.33000000000004</v>
      </c>
      <c r="K101" s="96">
        <f t="shared" ref="K101:K126" si="46">SUM($B101/12)*3</f>
        <v>460</v>
      </c>
      <c r="L101" s="96">
        <f t="shared" ref="L101:L126" si="47">SUM($B101/12)*2</f>
        <v>306.67</v>
      </c>
      <c r="M101" s="96">
        <f t="shared" ref="M101:M126" si="48">SUM($B101/12)</f>
        <v>153.33000000000001</v>
      </c>
    </row>
    <row r="102" spans="1:14" x14ac:dyDescent="0.2">
      <c r="A102" s="97">
        <f t="shared" si="36"/>
        <v>105000</v>
      </c>
      <c r="B102" s="96">
        <f t="shared" si="37"/>
        <v>1860</v>
      </c>
      <c r="C102" s="96">
        <f t="shared" si="38"/>
        <v>1705</v>
      </c>
      <c r="D102" s="96">
        <f t="shared" si="39"/>
        <v>1550</v>
      </c>
      <c r="E102" s="96">
        <f t="shared" si="40"/>
        <v>1395</v>
      </c>
      <c r="F102" s="96">
        <f t="shared" si="41"/>
        <v>1240</v>
      </c>
      <c r="G102" s="96">
        <f t="shared" si="42"/>
        <v>1085</v>
      </c>
      <c r="H102" s="96">
        <f t="shared" si="43"/>
        <v>930</v>
      </c>
      <c r="I102" s="96">
        <f t="shared" si="44"/>
        <v>775</v>
      </c>
      <c r="J102" s="96">
        <f t="shared" si="45"/>
        <v>620</v>
      </c>
      <c r="K102" s="96">
        <f t="shared" si="46"/>
        <v>465</v>
      </c>
      <c r="L102" s="96">
        <f t="shared" si="47"/>
        <v>310</v>
      </c>
      <c r="M102" s="96">
        <f t="shared" si="48"/>
        <v>155</v>
      </c>
    </row>
    <row r="103" spans="1:14" x14ac:dyDescent="0.2">
      <c r="A103" s="97">
        <f t="shared" si="36"/>
        <v>106000</v>
      </c>
      <c r="B103" s="96">
        <f t="shared" si="37"/>
        <v>1880</v>
      </c>
      <c r="C103" s="96">
        <f t="shared" si="38"/>
        <v>1723.33</v>
      </c>
      <c r="D103" s="96">
        <f t="shared" si="39"/>
        <v>1566.67</v>
      </c>
      <c r="E103" s="96">
        <f t="shared" si="40"/>
        <v>1410</v>
      </c>
      <c r="F103" s="96">
        <f t="shared" si="41"/>
        <v>1253.33</v>
      </c>
      <c r="G103" s="96">
        <f t="shared" si="42"/>
        <v>1096.67</v>
      </c>
      <c r="H103" s="96">
        <f t="shared" si="43"/>
        <v>940</v>
      </c>
      <c r="I103" s="96">
        <f t="shared" si="44"/>
        <v>783.33</v>
      </c>
      <c r="J103" s="96">
        <f t="shared" si="45"/>
        <v>626.66999999999996</v>
      </c>
      <c r="K103" s="96">
        <f t="shared" si="46"/>
        <v>470</v>
      </c>
      <c r="L103" s="96">
        <f t="shared" si="47"/>
        <v>313.33</v>
      </c>
      <c r="M103" s="96">
        <f t="shared" si="48"/>
        <v>156.66999999999999</v>
      </c>
    </row>
    <row r="104" spans="1:14" x14ac:dyDescent="0.2">
      <c r="A104" s="97">
        <f t="shared" si="36"/>
        <v>107000</v>
      </c>
      <c r="B104" s="96">
        <f t="shared" si="37"/>
        <v>1900</v>
      </c>
      <c r="C104" s="96">
        <f t="shared" si="38"/>
        <v>1741.67</v>
      </c>
      <c r="D104" s="96">
        <f t="shared" si="39"/>
        <v>1583.33</v>
      </c>
      <c r="E104" s="96">
        <f t="shared" si="40"/>
        <v>1425</v>
      </c>
      <c r="F104" s="96">
        <f t="shared" si="41"/>
        <v>1266.67</v>
      </c>
      <c r="G104" s="96">
        <f t="shared" si="42"/>
        <v>1108.33</v>
      </c>
      <c r="H104" s="96">
        <f t="shared" si="43"/>
        <v>950</v>
      </c>
      <c r="I104" s="96">
        <f t="shared" si="44"/>
        <v>791.67</v>
      </c>
      <c r="J104" s="96">
        <f t="shared" si="45"/>
        <v>633.33000000000004</v>
      </c>
      <c r="K104" s="96">
        <f t="shared" si="46"/>
        <v>475</v>
      </c>
      <c r="L104" s="96">
        <f t="shared" si="47"/>
        <v>316.67</v>
      </c>
      <c r="M104" s="96">
        <f t="shared" si="48"/>
        <v>158.33000000000001</v>
      </c>
    </row>
    <row r="105" spans="1:14" x14ac:dyDescent="0.2">
      <c r="A105" s="97">
        <f t="shared" si="36"/>
        <v>108000</v>
      </c>
      <c r="B105" s="96">
        <f t="shared" si="37"/>
        <v>1920</v>
      </c>
      <c r="C105" s="96">
        <f t="shared" si="38"/>
        <v>1760</v>
      </c>
      <c r="D105" s="96">
        <f t="shared" si="39"/>
        <v>1600</v>
      </c>
      <c r="E105" s="96">
        <f t="shared" si="40"/>
        <v>1440</v>
      </c>
      <c r="F105" s="96">
        <f t="shared" si="41"/>
        <v>1280</v>
      </c>
      <c r="G105" s="96">
        <f t="shared" si="42"/>
        <v>1120</v>
      </c>
      <c r="H105" s="96">
        <f t="shared" si="43"/>
        <v>960</v>
      </c>
      <c r="I105" s="96">
        <f t="shared" si="44"/>
        <v>800</v>
      </c>
      <c r="J105" s="96">
        <f t="shared" si="45"/>
        <v>640</v>
      </c>
      <c r="K105" s="96">
        <f t="shared" si="46"/>
        <v>480</v>
      </c>
      <c r="L105" s="96">
        <f t="shared" si="47"/>
        <v>320</v>
      </c>
      <c r="M105" s="96">
        <f t="shared" si="48"/>
        <v>160</v>
      </c>
    </row>
    <row r="106" spans="1:14" x14ac:dyDescent="0.2">
      <c r="A106" s="97">
        <f t="shared" si="36"/>
        <v>109000</v>
      </c>
      <c r="B106" s="96">
        <f t="shared" si="37"/>
        <v>1940</v>
      </c>
      <c r="C106" s="96">
        <f t="shared" si="38"/>
        <v>1778.33</v>
      </c>
      <c r="D106" s="96">
        <f t="shared" si="39"/>
        <v>1616.67</v>
      </c>
      <c r="E106" s="96">
        <f t="shared" si="40"/>
        <v>1455</v>
      </c>
      <c r="F106" s="96">
        <f t="shared" si="41"/>
        <v>1293.33</v>
      </c>
      <c r="G106" s="96">
        <f t="shared" si="42"/>
        <v>1131.67</v>
      </c>
      <c r="H106" s="96">
        <f t="shared" si="43"/>
        <v>970</v>
      </c>
      <c r="I106" s="96">
        <f t="shared" si="44"/>
        <v>808.33</v>
      </c>
      <c r="J106" s="96">
        <f t="shared" si="45"/>
        <v>646.66999999999996</v>
      </c>
      <c r="K106" s="96">
        <f t="shared" si="46"/>
        <v>485</v>
      </c>
      <c r="L106" s="96">
        <f t="shared" si="47"/>
        <v>323.33</v>
      </c>
      <c r="M106" s="96">
        <f t="shared" si="48"/>
        <v>161.66999999999999</v>
      </c>
    </row>
    <row r="107" spans="1:14" x14ac:dyDescent="0.2">
      <c r="A107" s="97">
        <f t="shared" si="36"/>
        <v>110000</v>
      </c>
      <c r="B107" s="96">
        <f t="shared" si="37"/>
        <v>1960</v>
      </c>
      <c r="C107" s="96">
        <f t="shared" si="38"/>
        <v>1796.67</v>
      </c>
      <c r="D107" s="96">
        <f t="shared" si="39"/>
        <v>1633.33</v>
      </c>
      <c r="E107" s="96">
        <f t="shared" si="40"/>
        <v>1470</v>
      </c>
      <c r="F107" s="96">
        <f t="shared" si="41"/>
        <v>1306.67</v>
      </c>
      <c r="G107" s="96">
        <f t="shared" si="42"/>
        <v>1143.33</v>
      </c>
      <c r="H107" s="96">
        <f t="shared" si="43"/>
        <v>980</v>
      </c>
      <c r="I107" s="96">
        <f t="shared" si="44"/>
        <v>816.67</v>
      </c>
      <c r="J107" s="96">
        <f t="shared" si="45"/>
        <v>653.33000000000004</v>
      </c>
      <c r="K107" s="96">
        <f t="shared" si="46"/>
        <v>490</v>
      </c>
      <c r="L107" s="96">
        <f t="shared" si="47"/>
        <v>326.67</v>
      </c>
      <c r="M107" s="96">
        <f t="shared" si="48"/>
        <v>163.33000000000001</v>
      </c>
    </row>
    <row r="108" spans="1:14" x14ac:dyDescent="0.2">
      <c r="A108" s="97">
        <f t="shared" si="36"/>
        <v>111000</v>
      </c>
      <c r="B108" s="96">
        <f t="shared" si="37"/>
        <v>1980</v>
      </c>
      <c r="C108" s="96">
        <f t="shared" si="38"/>
        <v>1815</v>
      </c>
      <c r="D108" s="96">
        <f t="shared" si="39"/>
        <v>1650</v>
      </c>
      <c r="E108" s="96">
        <f t="shared" si="40"/>
        <v>1485</v>
      </c>
      <c r="F108" s="96">
        <f t="shared" si="41"/>
        <v>1320</v>
      </c>
      <c r="G108" s="96">
        <f t="shared" si="42"/>
        <v>1155</v>
      </c>
      <c r="H108" s="96">
        <f t="shared" si="43"/>
        <v>990</v>
      </c>
      <c r="I108" s="96">
        <f t="shared" si="44"/>
        <v>825</v>
      </c>
      <c r="J108" s="96">
        <f t="shared" si="45"/>
        <v>660</v>
      </c>
      <c r="K108" s="96">
        <f t="shared" si="46"/>
        <v>495</v>
      </c>
      <c r="L108" s="96">
        <f t="shared" si="47"/>
        <v>330</v>
      </c>
      <c r="M108" s="96">
        <f t="shared" si="48"/>
        <v>165</v>
      </c>
    </row>
    <row r="109" spans="1:14" x14ac:dyDescent="0.2">
      <c r="A109" s="97">
        <f t="shared" ref="A109:A126" si="49">SUM(A108+1000)</f>
        <v>112000</v>
      </c>
      <c r="B109" s="96">
        <f t="shared" si="37"/>
        <v>2000</v>
      </c>
      <c r="C109" s="96">
        <f t="shared" si="38"/>
        <v>1833.33</v>
      </c>
      <c r="D109" s="96">
        <f t="shared" si="39"/>
        <v>1666.67</v>
      </c>
      <c r="E109" s="96">
        <f t="shared" si="40"/>
        <v>1500</v>
      </c>
      <c r="F109" s="96">
        <f t="shared" si="41"/>
        <v>1333.33</v>
      </c>
      <c r="G109" s="96">
        <f t="shared" si="42"/>
        <v>1166.67</v>
      </c>
      <c r="H109" s="96">
        <f t="shared" si="43"/>
        <v>1000</v>
      </c>
      <c r="I109" s="96">
        <f t="shared" si="44"/>
        <v>833.33</v>
      </c>
      <c r="J109" s="96">
        <f t="shared" si="45"/>
        <v>666.67</v>
      </c>
      <c r="K109" s="96">
        <f t="shared" si="46"/>
        <v>500</v>
      </c>
      <c r="L109" s="96">
        <f t="shared" si="47"/>
        <v>333.33</v>
      </c>
      <c r="M109" s="96">
        <f t="shared" si="48"/>
        <v>166.67</v>
      </c>
    </row>
    <row r="110" spans="1:14" x14ac:dyDescent="0.2">
      <c r="A110" s="97">
        <f t="shared" si="49"/>
        <v>113000</v>
      </c>
      <c r="B110" s="96">
        <f t="shared" ref="B110:B126" si="50">SUM(B109+20)</f>
        <v>2020</v>
      </c>
      <c r="C110" s="96">
        <f t="shared" si="38"/>
        <v>1851.67</v>
      </c>
      <c r="D110" s="96">
        <f t="shared" si="39"/>
        <v>1683.33</v>
      </c>
      <c r="E110" s="96">
        <f t="shared" si="40"/>
        <v>1515</v>
      </c>
      <c r="F110" s="96">
        <f t="shared" si="41"/>
        <v>1346.67</v>
      </c>
      <c r="G110" s="96">
        <f t="shared" si="42"/>
        <v>1178.33</v>
      </c>
      <c r="H110" s="96">
        <f t="shared" si="43"/>
        <v>1010</v>
      </c>
      <c r="I110" s="96">
        <f t="shared" si="44"/>
        <v>841.67</v>
      </c>
      <c r="J110" s="96">
        <f t="shared" si="45"/>
        <v>673.33</v>
      </c>
      <c r="K110" s="96">
        <f t="shared" si="46"/>
        <v>505</v>
      </c>
      <c r="L110" s="96">
        <f t="shared" si="47"/>
        <v>336.67</v>
      </c>
      <c r="M110" s="96">
        <f t="shared" si="48"/>
        <v>168.33</v>
      </c>
    </row>
    <row r="111" spans="1:14" x14ac:dyDescent="0.2">
      <c r="A111" s="97">
        <f t="shared" si="49"/>
        <v>114000</v>
      </c>
      <c r="B111" s="96">
        <f t="shared" si="50"/>
        <v>2040</v>
      </c>
      <c r="C111" s="96">
        <f t="shared" si="38"/>
        <v>1870</v>
      </c>
      <c r="D111" s="96">
        <f t="shared" si="39"/>
        <v>1700</v>
      </c>
      <c r="E111" s="96">
        <f t="shared" si="40"/>
        <v>1530</v>
      </c>
      <c r="F111" s="96">
        <f t="shared" si="41"/>
        <v>1360</v>
      </c>
      <c r="G111" s="96">
        <f t="shared" si="42"/>
        <v>1190</v>
      </c>
      <c r="H111" s="96">
        <f t="shared" si="43"/>
        <v>1020</v>
      </c>
      <c r="I111" s="96">
        <f t="shared" si="44"/>
        <v>850</v>
      </c>
      <c r="J111" s="96">
        <f t="shared" si="45"/>
        <v>680</v>
      </c>
      <c r="K111" s="96">
        <f t="shared" si="46"/>
        <v>510</v>
      </c>
      <c r="L111" s="96">
        <f t="shared" si="47"/>
        <v>340</v>
      </c>
      <c r="M111" s="96">
        <f t="shared" si="48"/>
        <v>170</v>
      </c>
    </row>
    <row r="112" spans="1:14" x14ac:dyDescent="0.2">
      <c r="A112" s="97">
        <f t="shared" si="49"/>
        <v>115000</v>
      </c>
      <c r="B112" s="96">
        <f t="shared" si="50"/>
        <v>2060</v>
      </c>
      <c r="C112" s="96">
        <f t="shared" si="38"/>
        <v>1888.33</v>
      </c>
      <c r="D112" s="96">
        <f t="shared" si="39"/>
        <v>1716.67</v>
      </c>
      <c r="E112" s="96">
        <f t="shared" si="40"/>
        <v>1545</v>
      </c>
      <c r="F112" s="96">
        <f t="shared" si="41"/>
        <v>1373.33</v>
      </c>
      <c r="G112" s="96">
        <f t="shared" si="42"/>
        <v>1201.67</v>
      </c>
      <c r="H112" s="96">
        <f t="shared" si="43"/>
        <v>1030</v>
      </c>
      <c r="I112" s="96">
        <f t="shared" si="44"/>
        <v>858.33</v>
      </c>
      <c r="J112" s="96">
        <f t="shared" si="45"/>
        <v>686.67</v>
      </c>
      <c r="K112" s="96">
        <f t="shared" si="46"/>
        <v>515</v>
      </c>
      <c r="L112" s="96">
        <f t="shared" si="47"/>
        <v>343.33</v>
      </c>
      <c r="M112" s="96">
        <f t="shared" si="48"/>
        <v>171.67</v>
      </c>
      <c r="N112" s="98"/>
    </row>
    <row r="113" spans="1:13" x14ac:dyDescent="0.2">
      <c r="A113" s="97">
        <f t="shared" si="49"/>
        <v>116000</v>
      </c>
      <c r="B113" s="96">
        <f t="shared" si="50"/>
        <v>2080</v>
      </c>
      <c r="C113" s="96">
        <f t="shared" si="38"/>
        <v>1906.67</v>
      </c>
      <c r="D113" s="96">
        <f t="shared" si="39"/>
        <v>1733.33</v>
      </c>
      <c r="E113" s="96">
        <f t="shared" si="40"/>
        <v>1560</v>
      </c>
      <c r="F113" s="96">
        <f t="shared" si="41"/>
        <v>1386.67</v>
      </c>
      <c r="G113" s="96">
        <f t="shared" si="42"/>
        <v>1213.33</v>
      </c>
      <c r="H113" s="96">
        <f t="shared" si="43"/>
        <v>1040</v>
      </c>
      <c r="I113" s="96">
        <f t="shared" si="44"/>
        <v>866.67</v>
      </c>
      <c r="J113" s="96">
        <f t="shared" si="45"/>
        <v>693.33</v>
      </c>
      <c r="K113" s="96">
        <f t="shared" si="46"/>
        <v>520</v>
      </c>
      <c r="L113" s="96">
        <f t="shared" si="47"/>
        <v>346.67</v>
      </c>
      <c r="M113" s="96">
        <f t="shared" si="48"/>
        <v>173.33</v>
      </c>
    </row>
    <row r="114" spans="1:13" x14ac:dyDescent="0.2">
      <c r="A114" s="97">
        <f t="shared" si="49"/>
        <v>117000</v>
      </c>
      <c r="B114" s="96">
        <f t="shared" si="50"/>
        <v>2100</v>
      </c>
      <c r="C114" s="96">
        <f t="shared" si="38"/>
        <v>1925</v>
      </c>
      <c r="D114" s="96">
        <f t="shared" si="39"/>
        <v>1750</v>
      </c>
      <c r="E114" s="96">
        <f t="shared" si="40"/>
        <v>1575</v>
      </c>
      <c r="F114" s="96">
        <f t="shared" si="41"/>
        <v>1400</v>
      </c>
      <c r="G114" s="96">
        <f t="shared" si="42"/>
        <v>1225</v>
      </c>
      <c r="H114" s="96">
        <f t="shared" si="43"/>
        <v>1050</v>
      </c>
      <c r="I114" s="96">
        <f t="shared" si="44"/>
        <v>875</v>
      </c>
      <c r="J114" s="96">
        <f t="shared" si="45"/>
        <v>700</v>
      </c>
      <c r="K114" s="96">
        <f t="shared" si="46"/>
        <v>525</v>
      </c>
      <c r="L114" s="96">
        <f t="shared" si="47"/>
        <v>350</v>
      </c>
      <c r="M114" s="96">
        <f t="shared" si="48"/>
        <v>175</v>
      </c>
    </row>
    <row r="115" spans="1:13" x14ac:dyDescent="0.2">
      <c r="A115" s="97">
        <f t="shared" si="49"/>
        <v>118000</v>
      </c>
      <c r="B115" s="96">
        <f t="shared" si="50"/>
        <v>2120</v>
      </c>
      <c r="C115" s="96">
        <f t="shared" si="38"/>
        <v>1943.33</v>
      </c>
      <c r="D115" s="96">
        <f t="shared" si="39"/>
        <v>1766.67</v>
      </c>
      <c r="E115" s="96">
        <f t="shared" si="40"/>
        <v>1590</v>
      </c>
      <c r="F115" s="96">
        <f t="shared" si="41"/>
        <v>1413.33</v>
      </c>
      <c r="G115" s="96">
        <f t="shared" si="42"/>
        <v>1236.67</v>
      </c>
      <c r="H115" s="96">
        <f t="shared" si="43"/>
        <v>1060</v>
      </c>
      <c r="I115" s="96">
        <f t="shared" si="44"/>
        <v>883.33</v>
      </c>
      <c r="J115" s="96">
        <f t="shared" si="45"/>
        <v>706.67</v>
      </c>
      <c r="K115" s="96">
        <f t="shared" si="46"/>
        <v>530</v>
      </c>
      <c r="L115" s="96">
        <f t="shared" si="47"/>
        <v>353.33</v>
      </c>
      <c r="M115" s="96">
        <f t="shared" si="48"/>
        <v>176.67</v>
      </c>
    </row>
    <row r="116" spans="1:13" x14ac:dyDescent="0.2">
      <c r="A116" s="97">
        <f t="shared" si="49"/>
        <v>119000</v>
      </c>
      <c r="B116" s="96">
        <f t="shared" si="50"/>
        <v>2140</v>
      </c>
      <c r="C116" s="96">
        <f t="shared" si="38"/>
        <v>1961.67</v>
      </c>
      <c r="D116" s="96">
        <f t="shared" si="39"/>
        <v>1783.33</v>
      </c>
      <c r="E116" s="96">
        <f t="shared" si="40"/>
        <v>1605</v>
      </c>
      <c r="F116" s="96">
        <f t="shared" si="41"/>
        <v>1426.67</v>
      </c>
      <c r="G116" s="96">
        <f t="shared" si="42"/>
        <v>1248.33</v>
      </c>
      <c r="H116" s="96">
        <f t="shared" si="43"/>
        <v>1070</v>
      </c>
      <c r="I116" s="96">
        <f t="shared" si="44"/>
        <v>891.67</v>
      </c>
      <c r="J116" s="96">
        <f t="shared" si="45"/>
        <v>713.33</v>
      </c>
      <c r="K116" s="96">
        <f t="shared" si="46"/>
        <v>535</v>
      </c>
      <c r="L116" s="96">
        <f t="shared" si="47"/>
        <v>356.67</v>
      </c>
      <c r="M116" s="96">
        <f t="shared" si="48"/>
        <v>178.33</v>
      </c>
    </row>
    <row r="117" spans="1:13" x14ac:dyDescent="0.2">
      <c r="A117" s="97">
        <f t="shared" si="49"/>
        <v>120000</v>
      </c>
      <c r="B117" s="96">
        <f t="shared" si="50"/>
        <v>2160</v>
      </c>
      <c r="C117" s="96">
        <f t="shared" si="38"/>
        <v>1980</v>
      </c>
      <c r="D117" s="96">
        <f t="shared" si="39"/>
        <v>1800</v>
      </c>
      <c r="E117" s="96">
        <f t="shared" si="40"/>
        <v>1620</v>
      </c>
      <c r="F117" s="96">
        <f t="shared" si="41"/>
        <v>1440</v>
      </c>
      <c r="G117" s="96">
        <f t="shared" si="42"/>
        <v>1260</v>
      </c>
      <c r="H117" s="96">
        <f t="shared" si="43"/>
        <v>1080</v>
      </c>
      <c r="I117" s="96">
        <f t="shared" si="44"/>
        <v>900</v>
      </c>
      <c r="J117" s="96">
        <f t="shared" si="45"/>
        <v>720</v>
      </c>
      <c r="K117" s="96">
        <f t="shared" si="46"/>
        <v>540</v>
      </c>
      <c r="L117" s="96">
        <f t="shared" si="47"/>
        <v>360</v>
      </c>
      <c r="M117" s="96">
        <f t="shared" si="48"/>
        <v>180</v>
      </c>
    </row>
    <row r="118" spans="1:13" x14ac:dyDescent="0.2">
      <c r="A118" s="97">
        <f t="shared" si="49"/>
        <v>121000</v>
      </c>
      <c r="B118" s="96">
        <f t="shared" si="50"/>
        <v>2180</v>
      </c>
      <c r="C118" s="96">
        <f t="shared" si="38"/>
        <v>1998.33</v>
      </c>
      <c r="D118" s="96">
        <f t="shared" si="39"/>
        <v>1816.67</v>
      </c>
      <c r="E118" s="96">
        <f t="shared" si="40"/>
        <v>1635</v>
      </c>
      <c r="F118" s="96">
        <f t="shared" si="41"/>
        <v>1453.33</v>
      </c>
      <c r="G118" s="96">
        <f t="shared" si="42"/>
        <v>1271.67</v>
      </c>
      <c r="H118" s="96">
        <f t="shared" si="43"/>
        <v>1090</v>
      </c>
      <c r="I118" s="96">
        <f t="shared" si="44"/>
        <v>908.33</v>
      </c>
      <c r="J118" s="96">
        <f t="shared" si="45"/>
        <v>726.67</v>
      </c>
      <c r="K118" s="96">
        <f t="shared" si="46"/>
        <v>545</v>
      </c>
      <c r="L118" s="96">
        <f t="shared" si="47"/>
        <v>363.33</v>
      </c>
      <c r="M118" s="96">
        <f t="shared" si="48"/>
        <v>181.67</v>
      </c>
    </row>
    <row r="119" spans="1:13" x14ac:dyDescent="0.2">
      <c r="A119" s="97">
        <f t="shared" si="49"/>
        <v>122000</v>
      </c>
      <c r="B119" s="96">
        <f t="shared" si="50"/>
        <v>2200</v>
      </c>
      <c r="C119" s="96">
        <f t="shared" si="38"/>
        <v>2016.67</v>
      </c>
      <c r="D119" s="96">
        <f t="shared" si="39"/>
        <v>1833.33</v>
      </c>
      <c r="E119" s="96">
        <f t="shared" si="40"/>
        <v>1650</v>
      </c>
      <c r="F119" s="96">
        <f t="shared" si="41"/>
        <v>1466.67</v>
      </c>
      <c r="G119" s="96">
        <f t="shared" si="42"/>
        <v>1283.33</v>
      </c>
      <c r="H119" s="96">
        <f t="shared" si="43"/>
        <v>1100</v>
      </c>
      <c r="I119" s="96">
        <f t="shared" si="44"/>
        <v>916.67</v>
      </c>
      <c r="J119" s="96">
        <f t="shared" si="45"/>
        <v>733.33</v>
      </c>
      <c r="K119" s="96">
        <f t="shared" si="46"/>
        <v>550</v>
      </c>
      <c r="L119" s="96">
        <f t="shared" si="47"/>
        <v>366.67</v>
      </c>
      <c r="M119" s="96">
        <f t="shared" si="48"/>
        <v>183.33</v>
      </c>
    </row>
    <row r="120" spans="1:13" x14ac:dyDescent="0.2">
      <c r="A120" s="97">
        <f t="shared" si="49"/>
        <v>123000</v>
      </c>
      <c r="B120" s="96">
        <f t="shared" si="50"/>
        <v>2220</v>
      </c>
      <c r="C120" s="96">
        <f t="shared" si="38"/>
        <v>2035</v>
      </c>
      <c r="D120" s="96">
        <f t="shared" si="39"/>
        <v>1850</v>
      </c>
      <c r="E120" s="96">
        <f t="shared" si="40"/>
        <v>1665</v>
      </c>
      <c r="F120" s="96">
        <f t="shared" si="41"/>
        <v>1480</v>
      </c>
      <c r="G120" s="96">
        <f t="shared" si="42"/>
        <v>1295</v>
      </c>
      <c r="H120" s="96">
        <f t="shared" si="43"/>
        <v>1110</v>
      </c>
      <c r="I120" s="96">
        <f t="shared" si="44"/>
        <v>925</v>
      </c>
      <c r="J120" s="96">
        <f t="shared" si="45"/>
        <v>740</v>
      </c>
      <c r="K120" s="96">
        <f t="shared" si="46"/>
        <v>555</v>
      </c>
      <c r="L120" s="96">
        <f t="shared" si="47"/>
        <v>370</v>
      </c>
      <c r="M120" s="96">
        <f t="shared" si="48"/>
        <v>185</v>
      </c>
    </row>
    <row r="121" spans="1:13" x14ac:dyDescent="0.2">
      <c r="A121" s="97">
        <f t="shared" si="49"/>
        <v>124000</v>
      </c>
      <c r="B121" s="96">
        <f t="shared" si="50"/>
        <v>2240</v>
      </c>
      <c r="C121" s="96">
        <f t="shared" si="38"/>
        <v>2053.33</v>
      </c>
      <c r="D121" s="96">
        <f t="shared" si="39"/>
        <v>1866.67</v>
      </c>
      <c r="E121" s="96">
        <f t="shared" si="40"/>
        <v>1680</v>
      </c>
      <c r="F121" s="96">
        <f t="shared" si="41"/>
        <v>1493.33</v>
      </c>
      <c r="G121" s="96">
        <f t="shared" si="42"/>
        <v>1306.67</v>
      </c>
      <c r="H121" s="96">
        <f t="shared" si="43"/>
        <v>1120</v>
      </c>
      <c r="I121" s="96">
        <f t="shared" si="44"/>
        <v>933.33</v>
      </c>
      <c r="J121" s="96">
        <f t="shared" si="45"/>
        <v>746.67</v>
      </c>
      <c r="K121" s="96">
        <f t="shared" si="46"/>
        <v>560</v>
      </c>
      <c r="L121" s="96">
        <f t="shared" si="47"/>
        <v>373.33</v>
      </c>
      <c r="M121" s="96">
        <f t="shared" si="48"/>
        <v>186.67</v>
      </c>
    </row>
    <row r="122" spans="1:13" x14ac:dyDescent="0.2">
      <c r="A122" s="97">
        <f t="shared" si="49"/>
        <v>125000</v>
      </c>
      <c r="B122" s="96">
        <f t="shared" si="50"/>
        <v>2260</v>
      </c>
      <c r="C122" s="96">
        <f t="shared" si="38"/>
        <v>2071.67</v>
      </c>
      <c r="D122" s="96">
        <f t="shared" si="39"/>
        <v>1883.33</v>
      </c>
      <c r="E122" s="96">
        <f t="shared" si="40"/>
        <v>1695</v>
      </c>
      <c r="F122" s="96">
        <f t="shared" si="41"/>
        <v>1506.67</v>
      </c>
      <c r="G122" s="96">
        <f t="shared" si="42"/>
        <v>1318.33</v>
      </c>
      <c r="H122" s="96">
        <f t="shared" si="43"/>
        <v>1130</v>
      </c>
      <c r="I122" s="96">
        <f t="shared" si="44"/>
        <v>941.67</v>
      </c>
      <c r="J122" s="96">
        <f t="shared" si="45"/>
        <v>753.33</v>
      </c>
      <c r="K122" s="96">
        <f t="shared" si="46"/>
        <v>565</v>
      </c>
      <c r="L122" s="96">
        <f t="shared" si="47"/>
        <v>376.67</v>
      </c>
      <c r="M122" s="96">
        <f t="shared" si="48"/>
        <v>188.33</v>
      </c>
    </row>
    <row r="123" spans="1:13" x14ac:dyDescent="0.2">
      <c r="A123" s="97">
        <f t="shared" si="49"/>
        <v>126000</v>
      </c>
      <c r="B123" s="96">
        <f t="shared" si="50"/>
        <v>2280</v>
      </c>
      <c r="C123" s="96">
        <f t="shared" si="38"/>
        <v>2090</v>
      </c>
      <c r="D123" s="96">
        <f t="shared" si="39"/>
        <v>1900</v>
      </c>
      <c r="E123" s="96">
        <f t="shared" si="40"/>
        <v>1710</v>
      </c>
      <c r="F123" s="96">
        <f t="shared" si="41"/>
        <v>1520</v>
      </c>
      <c r="G123" s="96">
        <f t="shared" si="42"/>
        <v>1330</v>
      </c>
      <c r="H123" s="96">
        <f t="shared" si="43"/>
        <v>1140</v>
      </c>
      <c r="I123" s="96">
        <f t="shared" si="44"/>
        <v>950</v>
      </c>
      <c r="J123" s="96">
        <f t="shared" si="45"/>
        <v>760</v>
      </c>
      <c r="K123" s="96">
        <f t="shared" si="46"/>
        <v>570</v>
      </c>
      <c r="L123" s="96">
        <f t="shared" si="47"/>
        <v>380</v>
      </c>
      <c r="M123" s="96">
        <f t="shared" si="48"/>
        <v>190</v>
      </c>
    </row>
    <row r="124" spans="1:13" x14ac:dyDescent="0.2">
      <c r="A124" s="97">
        <f t="shared" si="49"/>
        <v>127000</v>
      </c>
      <c r="B124" s="96">
        <f t="shared" si="50"/>
        <v>2300</v>
      </c>
      <c r="C124" s="96">
        <f t="shared" si="38"/>
        <v>2108.33</v>
      </c>
      <c r="D124" s="96">
        <f t="shared" si="39"/>
        <v>1916.67</v>
      </c>
      <c r="E124" s="96">
        <f t="shared" si="40"/>
        <v>1725</v>
      </c>
      <c r="F124" s="96">
        <f t="shared" si="41"/>
        <v>1533.33</v>
      </c>
      <c r="G124" s="96">
        <f t="shared" si="42"/>
        <v>1341.67</v>
      </c>
      <c r="H124" s="96">
        <f t="shared" si="43"/>
        <v>1150</v>
      </c>
      <c r="I124" s="96">
        <f t="shared" si="44"/>
        <v>958.33</v>
      </c>
      <c r="J124" s="96">
        <f t="shared" si="45"/>
        <v>766.67</v>
      </c>
      <c r="K124" s="96">
        <f t="shared" si="46"/>
        <v>575</v>
      </c>
      <c r="L124" s="96">
        <f t="shared" si="47"/>
        <v>383.33</v>
      </c>
      <c r="M124" s="96">
        <f t="shared" si="48"/>
        <v>191.67</v>
      </c>
    </row>
    <row r="125" spans="1:13" x14ac:dyDescent="0.2">
      <c r="A125" s="97">
        <f t="shared" si="49"/>
        <v>128000</v>
      </c>
      <c r="B125" s="96">
        <f t="shared" si="50"/>
        <v>2320</v>
      </c>
      <c r="C125" s="96">
        <f t="shared" si="38"/>
        <v>2126.67</v>
      </c>
      <c r="D125" s="96">
        <f t="shared" si="39"/>
        <v>1933.33</v>
      </c>
      <c r="E125" s="96">
        <f t="shared" si="40"/>
        <v>1740</v>
      </c>
      <c r="F125" s="96">
        <f t="shared" si="41"/>
        <v>1546.67</v>
      </c>
      <c r="G125" s="96">
        <f t="shared" si="42"/>
        <v>1353.33</v>
      </c>
      <c r="H125" s="96">
        <f t="shared" si="43"/>
        <v>1160</v>
      </c>
      <c r="I125" s="96">
        <f t="shared" si="44"/>
        <v>966.67</v>
      </c>
      <c r="J125" s="96">
        <f t="shared" si="45"/>
        <v>773.33</v>
      </c>
      <c r="K125" s="96">
        <f t="shared" si="46"/>
        <v>580</v>
      </c>
      <c r="L125" s="96">
        <f t="shared" si="47"/>
        <v>386.67</v>
      </c>
      <c r="M125" s="96">
        <f t="shared" si="48"/>
        <v>193.33</v>
      </c>
    </row>
    <row r="126" spans="1:13" x14ac:dyDescent="0.2">
      <c r="A126" s="97">
        <f t="shared" si="49"/>
        <v>129000</v>
      </c>
      <c r="B126" s="96">
        <f t="shared" si="50"/>
        <v>2340</v>
      </c>
      <c r="C126" s="96">
        <f t="shared" si="38"/>
        <v>2145</v>
      </c>
      <c r="D126" s="96">
        <f t="shared" si="39"/>
        <v>1950</v>
      </c>
      <c r="E126" s="96">
        <f t="shared" si="40"/>
        <v>1755</v>
      </c>
      <c r="F126" s="96">
        <f t="shared" si="41"/>
        <v>1560</v>
      </c>
      <c r="G126" s="96">
        <f t="shared" si="42"/>
        <v>1365</v>
      </c>
      <c r="H126" s="96">
        <f t="shared" si="43"/>
        <v>1170</v>
      </c>
      <c r="I126" s="96">
        <f t="shared" si="44"/>
        <v>975</v>
      </c>
      <c r="J126" s="96">
        <f t="shared" si="45"/>
        <v>780</v>
      </c>
      <c r="K126" s="96">
        <f t="shared" si="46"/>
        <v>585</v>
      </c>
      <c r="L126" s="96">
        <f t="shared" si="47"/>
        <v>390</v>
      </c>
      <c r="M126" s="96">
        <f t="shared" si="48"/>
        <v>195</v>
      </c>
    </row>
    <row r="127" spans="1:13" x14ac:dyDescent="0.2">
      <c r="A127" s="95" t="s">
        <v>50</v>
      </c>
      <c r="B127" s="94"/>
      <c r="C127" s="94"/>
      <c r="D127" s="94"/>
      <c r="E127" s="94"/>
      <c r="F127" s="94"/>
      <c r="G127" s="94"/>
      <c r="H127" s="94"/>
      <c r="I127" s="94"/>
      <c r="J127" s="94"/>
      <c r="K127" s="94"/>
      <c r="L127" s="94"/>
      <c r="M127" s="94"/>
    </row>
    <row r="128" spans="1:13" ht="15.75" x14ac:dyDescent="0.25">
      <c r="A128" s="93"/>
      <c r="B128" s="92"/>
      <c r="C128" s="92"/>
      <c r="D128" s="92"/>
      <c r="E128" s="92"/>
      <c r="F128" s="92"/>
      <c r="G128" s="92"/>
      <c r="H128" s="92"/>
      <c r="I128" s="92"/>
      <c r="J128" s="92"/>
      <c r="K128" s="92"/>
      <c r="L128" s="92"/>
      <c r="M128" s="92"/>
    </row>
    <row r="130" spans="2:13" ht="15.75" x14ac:dyDescent="0.25">
      <c r="B130" s="91"/>
      <c r="G130" s="91"/>
      <c r="H130" s="91"/>
      <c r="K130" s="91"/>
      <c r="L130" s="91"/>
      <c r="M130" s="91"/>
    </row>
  </sheetData>
  <mergeCells count="2">
    <mergeCell ref="A1:M2"/>
    <mergeCell ref="B3:M3"/>
  </mergeCells>
  <printOptions gridLines="1"/>
  <pageMargins left="0.75" right="0.75" top="0.63" bottom="0.55000000000000004" header="0.2" footer="0.24"/>
  <pageSetup scale="97" fitToHeight="4" orientation="landscape" r:id="rId1"/>
  <headerFooter alignWithMargins="0">
    <oddHeader xml:space="preserve">&amp;C2020  Nevada Weight Fee All Power Units – Effective 1-1-20
</oddHeader>
    <oddFooter>&amp;L&amp;F&amp;C&amp;P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W80"/>
  <sheetViews>
    <sheetView tabSelected="1" zoomScaleNormal="100" workbookViewId="0">
      <selection activeCell="Y3" sqref="Y3"/>
    </sheetView>
  </sheetViews>
  <sheetFormatPr defaultRowHeight="12.75" x14ac:dyDescent="0.2"/>
  <cols>
    <col min="6" max="6" width="11.7109375" bestFit="1" customWidth="1"/>
    <col min="7" max="7" width="9.42578125" bestFit="1" customWidth="1"/>
    <col min="9" max="9" width="9.7109375" customWidth="1"/>
    <col min="10" max="10" width="13.42578125" customWidth="1"/>
    <col min="11" max="11" width="12.7109375" customWidth="1"/>
    <col min="13" max="13" width="9.7109375" bestFit="1" customWidth="1"/>
    <col min="14" max="14" width="11.28515625" customWidth="1"/>
    <col min="16" max="16" width="9.7109375" bestFit="1" customWidth="1"/>
    <col min="20" max="20" width="5.7109375" customWidth="1"/>
    <col min="23" max="23" width="13.5703125" customWidth="1"/>
  </cols>
  <sheetData>
    <row r="1" spans="1:23" ht="23.25" x14ac:dyDescent="0.35">
      <c r="A1" s="183" t="s">
        <v>100</v>
      </c>
      <c r="B1" s="184"/>
      <c r="C1" s="184"/>
      <c r="D1" s="184"/>
      <c r="E1" s="184"/>
      <c r="F1" s="184"/>
      <c r="G1" s="184"/>
      <c r="H1" s="184"/>
      <c r="I1" s="184"/>
      <c r="J1" s="184"/>
      <c r="K1" s="184"/>
      <c r="L1" s="184"/>
      <c r="M1" s="184"/>
      <c r="N1" s="184"/>
      <c r="O1" s="184"/>
      <c r="P1" s="184"/>
      <c r="Q1" s="184"/>
      <c r="R1" s="184"/>
      <c r="S1" s="184"/>
      <c r="T1" s="184"/>
      <c r="U1" s="184"/>
      <c r="V1" s="185"/>
      <c r="W1" s="185"/>
    </row>
    <row r="2" spans="1:23" ht="5.25" customHeight="1" x14ac:dyDescent="0.2">
      <c r="A2" s="1"/>
      <c r="B2" s="1"/>
      <c r="C2" s="1"/>
      <c r="D2" s="1"/>
      <c r="E2" s="1"/>
      <c r="F2" s="1"/>
      <c r="G2" s="1"/>
      <c r="H2" s="1"/>
      <c r="I2" s="1"/>
      <c r="J2" s="1"/>
      <c r="K2" s="1"/>
      <c r="L2" s="1"/>
      <c r="M2" s="1"/>
      <c r="N2" s="1"/>
      <c r="O2" s="1"/>
      <c r="P2" s="1"/>
      <c r="Q2" s="1"/>
      <c r="R2" s="1"/>
      <c r="S2" s="1"/>
      <c r="T2" s="1"/>
      <c r="U2" s="1"/>
      <c r="V2" s="1"/>
      <c r="W2" s="1"/>
    </row>
    <row r="3" spans="1:23" ht="12.75" customHeight="1" x14ac:dyDescent="0.2">
      <c r="A3" s="186" t="s">
        <v>64</v>
      </c>
      <c r="B3" s="187"/>
      <c r="C3" s="187"/>
      <c r="D3" s="187"/>
      <c r="E3" s="190" t="s">
        <v>71</v>
      </c>
      <c r="F3" s="190"/>
      <c r="G3" s="190"/>
      <c r="H3" s="190"/>
      <c r="I3" s="190"/>
      <c r="J3" s="190"/>
      <c r="K3" s="190"/>
      <c r="L3" s="190"/>
      <c r="M3" s="190"/>
      <c r="N3" s="190"/>
      <c r="O3" s="190"/>
      <c r="P3" s="190"/>
      <c r="Q3" s="190"/>
      <c r="R3" s="190"/>
      <c r="S3" s="190"/>
      <c r="T3" s="190"/>
      <c r="U3" s="190"/>
      <c r="V3" s="190"/>
      <c r="W3" s="191"/>
    </row>
    <row r="4" spans="1:23" ht="43.5" customHeight="1" x14ac:dyDescent="0.2">
      <c r="A4" s="188"/>
      <c r="B4" s="189"/>
      <c r="C4" s="189"/>
      <c r="D4" s="189"/>
      <c r="E4" s="192"/>
      <c r="F4" s="192"/>
      <c r="G4" s="192"/>
      <c r="H4" s="192"/>
      <c r="I4" s="192"/>
      <c r="J4" s="192"/>
      <c r="K4" s="192"/>
      <c r="L4" s="192"/>
      <c r="M4" s="192"/>
      <c r="N4" s="192"/>
      <c r="O4" s="192"/>
      <c r="P4" s="192"/>
      <c r="Q4" s="192"/>
      <c r="R4" s="192"/>
      <c r="S4" s="192"/>
      <c r="T4" s="192"/>
      <c r="U4" s="192"/>
      <c r="V4" s="192"/>
      <c r="W4" s="193"/>
    </row>
    <row r="5" spans="1:23" ht="14.25" customHeight="1" x14ac:dyDescent="0.2">
      <c r="A5" s="194" t="s">
        <v>65</v>
      </c>
      <c r="B5" s="195"/>
      <c r="C5" s="195"/>
      <c r="D5" s="195"/>
      <c r="E5" s="190" t="s">
        <v>89</v>
      </c>
      <c r="F5" s="190"/>
      <c r="G5" s="190"/>
      <c r="H5" s="190"/>
      <c r="I5" s="190"/>
      <c r="J5" s="190"/>
      <c r="K5" s="190"/>
      <c r="L5" s="190"/>
      <c r="M5" s="190"/>
      <c r="N5" s="190"/>
      <c r="O5" s="190"/>
      <c r="P5" s="190"/>
      <c r="Q5" s="190"/>
      <c r="R5" s="190"/>
      <c r="S5" s="190"/>
      <c r="T5" s="190"/>
      <c r="U5" s="190"/>
      <c r="V5" s="190"/>
      <c r="W5" s="191"/>
    </row>
    <row r="6" spans="1:23" ht="17.25" customHeight="1" x14ac:dyDescent="0.2">
      <c r="A6" s="196"/>
      <c r="B6" s="197"/>
      <c r="C6" s="197"/>
      <c r="D6" s="197"/>
      <c r="E6" s="192" t="s">
        <v>90</v>
      </c>
      <c r="F6" s="192"/>
      <c r="G6" s="192"/>
      <c r="H6" s="192"/>
      <c r="I6" s="192"/>
      <c r="J6" s="192"/>
      <c r="K6" s="192"/>
      <c r="L6" s="192"/>
      <c r="M6" s="192"/>
      <c r="N6" s="192"/>
      <c r="O6" s="192"/>
      <c r="P6" s="192"/>
      <c r="Q6" s="192"/>
      <c r="R6" s="192"/>
      <c r="S6" s="192"/>
      <c r="T6" s="192"/>
      <c r="U6" s="192"/>
      <c r="V6" s="192"/>
      <c r="W6" s="193"/>
    </row>
    <row r="7" spans="1:23" ht="9" customHeight="1" thickBot="1" x14ac:dyDescent="0.25">
      <c r="A7" s="22"/>
      <c r="B7" s="33"/>
      <c r="C7" s="33"/>
      <c r="D7" s="33"/>
      <c r="E7" s="33"/>
      <c r="F7" s="33"/>
      <c r="G7" s="33"/>
      <c r="H7" s="33"/>
      <c r="I7" s="33"/>
      <c r="J7" s="33"/>
      <c r="K7" s="33"/>
      <c r="L7" s="33"/>
      <c r="M7" s="33"/>
      <c r="N7" s="33"/>
      <c r="O7" s="33"/>
      <c r="P7" s="33"/>
      <c r="Q7" s="33"/>
      <c r="R7" s="33"/>
      <c r="S7" s="33"/>
      <c r="V7" s="1"/>
      <c r="W7" s="1"/>
    </row>
    <row r="8" spans="1:23" ht="15" thickBot="1" x14ac:dyDescent="0.25">
      <c r="A8" s="204" t="s">
        <v>86</v>
      </c>
      <c r="B8" s="205"/>
      <c r="C8" s="205"/>
      <c r="D8" s="205"/>
      <c r="E8" s="205"/>
      <c r="F8" s="205"/>
      <c r="G8" s="205"/>
      <c r="H8" s="205"/>
      <c r="I8" s="206"/>
      <c r="J8" s="33"/>
      <c r="K8" s="204" t="s">
        <v>87</v>
      </c>
      <c r="L8" s="205"/>
      <c r="M8" s="205"/>
      <c r="N8" s="205"/>
      <c r="O8" s="205"/>
      <c r="P8" s="205"/>
      <c r="Q8" s="205"/>
      <c r="R8" s="205"/>
      <c r="S8" s="206"/>
      <c r="T8" s="1"/>
      <c r="U8" s="207" t="s">
        <v>88</v>
      </c>
      <c r="V8" s="208"/>
      <c r="W8" s="209"/>
    </row>
    <row r="9" spans="1:23" ht="13.5" thickBot="1" x14ac:dyDescent="0.25">
      <c r="A9" s="216" t="s">
        <v>49</v>
      </c>
      <c r="B9" s="161"/>
      <c r="C9" s="161"/>
      <c r="D9" s="161" t="s">
        <v>54</v>
      </c>
      <c r="E9" s="161"/>
      <c r="F9" s="161"/>
      <c r="G9" s="161" t="s">
        <v>54</v>
      </c>
      <c r="H9" s="161"/>
      <c r="I9" s="161"/>
      <c r="J9" s="1"/>
      <c r="K9" s="216" t="s">
        <v>49</v>
      </c>
      <c r="L9" s="161"/>
      <c r="M9" s="161"/>
      <c r="N9" s="161" t="s">
        <v>54</v>
      </c>
      <c r="O9" s="161"/>
      <c r="P9" s="161"/>
      <c r="Q9" s="161" t="s">
        <v>54</v>
      </c>
      <c r="R9" s="161"/>
      <c r="S9" s="161"/>
      <c r="T9" s="1"/>
      <c r="U9" s="210"/>
      <c r="V9" s="211"/>
      <c r="W9" s="212"/>
    </row>
    <row r="10" spans="1:23" x14ac:dyDescent="0.2">
      <c r="A10" s="162" t="s">
        <v>57</v>
      </c>
      <c r="B10" s="163"/>
      <c r="C10" s="164"/>
      <c r="D10" s="167" t="s">
        <v>69</v>
      </c>
      <c r="E10" s="163"/>
      <c r="F10" s="164"/>
      <c r="G10" s="167" t="s">
        <v>59</v>
      </c>
      <c r="H10" s="163"/>
      <c r="I10" s="169"/>
      <c r="J10" s="1"/>
      <c r="K10" s="173" t="s">
        <v>60</v>
      </c>
      <c r="L10" s="174"/>
      <c r="M10" s="174"/>
      <c r="N10" s="178" t="s">
        <v>58</v>
      </c>
      <c r="O10" s="174"/>
      <c r="P10" s="174"/>
      <c r="Q10" s="178" t="s">
        <v>61</v>
      </c>
      <c r="R10" s="179"/>
      <c r="S10" s="180"/>
      <c r="T10" s="1"/>
      <c r="U10" s="210"/>
      <c r="V10" s="211"/>
      <c r="W10" s="212"/>
    </row>
    <row r="11" spans="1:23" ht="13.5" thickBot="1" x14ac:dyDescent="0.25">
      <c r="A11" s="165"/>
      <c r="B11" s="163"/>
      <c r="C11" s="164"/>
      <c r="D11" s="168"/>
      <c r="E11" s="163"/>
      <c r="F11" s="164"/>
      <c r="G11" s="168"/>
      <c r="H11" s="163"/>
      <c r="I11" s="169"/>
      <c r="J11" s="1"/>
      <c r="K11" s="175"/>
      <c r="L11" s="174"/>
      <c r="M11" s="174"/>
      <c r="N11" s="174"/>
      <c r="O11" s="174"/>
      <c r="P11" s="174"/>
      <c r="Q11" s="179"/>
      <c r="R11" s="179"/>
      <c r="S11" s="180"/>
      <c r="T11" s="1"/>
      <c r="U11" s="213"/>
      <c r="V11" s="214"/>
      <c r="W11" s="215"/>
    </row>
    <row r="12" spans="1:23" ht="14.25" x14ac:dyDescent="0.2">
      <c r="A12" s="165"/>
      <c r="B12" s="163"/>
      <c r="C12" s="164"/>
      <c r="D12" s="168"/>
      <c r="E12" s="163"/>
      <c r="F12" s="164"/>
      <c r="G12" s="168"/>
      <c r="H12" s="163"/>
      <c r="I12" s="169"/>
      <c r="J12" s="1"/>
      <c r="K12" s="175"/>
      <c r="L12" s="174"/>
      <c r="M12" s="174"/>
      <c r="N12" s="174"/>
      <c r="O12" s="174"/>
      <c r="P12" s="174"/>
      <c r="Q12" s="179"/>
      <c r="R12" s="179"/>
      <c r="S12" s="180"/>
      <c r="T12" s="1"/>
      <c r="U12" s="201"/>
      <c r="V12" s="202"/>
      <c r="W12" s="203"/>
    </row>
    <row r="13" spans="1:23" x14ac:dyDescent="0.2">
      <c r="A13" s="165"/>
      <c r="B13" s="163"/>
      <c r="C13" s="164"/>
      <c r="D13" s="168"/>
      <c r="E13" s="163"/>
      <c r="F13" s="164"/>
      <c r="G13" s="168"/>
      <c r="H13" s="163"/>
      <c r="I13" s="169"/>
      <c r="J13" s="1"/>
      <c r="K13" s="175"/>
      <c r="L13" s="174"/>
      <c r="M13" s="174"/>
      <c r="N13" s="174"/>
      <c r="O13" s="174"/>
      <c r="P13" s="174"/>
      <c r="Q13" s="179"/>
      <c r="R13" s="179"/>
      <c r="S13" s="180"/>
      <c r="T13" s="1"/>
      <c r="U13" s="34" t="s">
        <v>30</v>
      </c>
      <c r="V13" s="35"/>
      <c r="W13" s="36" t="s">
        <v>48</v>
      </c>
    </row>
    <row r="14" spans="1:23" x14ac:dyDescent="0.2">
      <c r="A14" s="165"/>
      <c r="B14" s="163"/>
      <c r="C14" s="164"/>
      <c r="D14" s="168"/>
      <c r="E14" s="163"/>
      <c r="F14" s="164"/>
      <c r="G14" s="168"/>
      <c r="H14" s="163"/>
      <c r="I14" s="169"/>
      <c r="J14" s="1"/>
      <c r="K14" s="175"/>
      <c r="L14" s="174"/>
      <c r="M14" s="174"/>
      <c r="N14" s="174"/>
      <c r="O14" s="174"/>
      <c r="P14" s="174"/>
      <c r="Q14" s="179"/>
      <c r="R14" s="179"/>
      <c r="S14" s="180"/>
      <c r="T14" s="1"/>
      <c r="U14" s="37"/>
      <c r="V14" s="38"/>
      <c r="W14" s="39"/>
    </row>
    <row r="15" spans="1:23" x14ac:dyDescent="0.2">
      <c r="A15" s="165"/>
      <c r="B15" s="163"/>
      <c r="C15" s="164"/>
      <c r="D15" s="168"/>
      <c r="E15" s="163"/>
      <c r="F15" s="164"/>
      <c r="G15" s="168"/>
      <c r="H15" s="163"/>
      <c r="I15" s="169"/>
      <c r="J15" s="1"/>
      <c r="K15" s="175"/>
      <c r="L15" s="174"/>
      <c r="M15" s="174"/>
      <c r="N15" s="174"/>
      <c r="O15" s="174"/>
      <c r="P15" s="174"/>
      <c r="Q15" s="179"/>
      <c r="R15" s="179"/>
      <c r="S15" s="180"/>
      <c r="T15" s="1"/>
      <c r="U15" s="37" t="s">
        <v>31</v>
      </c>
      <c r="V15" s="1"/>
      <c r="W15" s="43">
        <v>7.6</v>
      </c>
    </row>
    <row r="16" spans="1:23" x14ac:dyDescent="0.2">
      <c r="A16" s="165"/>
      <c r="B16" s="163"/>
      <c r="C16" s="164"/>
      <c r="D16" s="168"/>
      <c r="E16" s="163"/>
      <c r="F16" s="164"/>
      <c r="G16" s="168"/>
      <c r="H16" s="163"/>
      <c r="I16" s="169"/>
      <c r="J16" s="1"/>
      <c r="K16" s="175"/>
      <c r="L16" s="174"/>
      <c r="M16" s="174"/>
      <c r="N16" s="174"/>
      <c r="O16" s="174"/>
      <c r="P16" s="174"/>
      <c r="Q16" s="179"/>
      <c r="R16" s="179"/>
      <c r="S16" s="180"/>
      <c r="T16" s="1"/>
      <c r="U16" s="37" t="s">
        <v>32</v>
      </c>
      <c r="V16" s="1"/>
      <c r="W16" s="43">
        <v>7.6</v>
      </c>
    </row>
    <row r="17" spans="1:23" x14ac:dyDescent="0.2">
      <c r="A17" s="165"/>
      <c r="B17" s="163"/>
      <c r="C17" s="164"/>
      <c r="D17" s="168"/>
      <c r="E17" s="163"/>
      <c r="F17" s="164"/>
      <c r="G17" s="168"/>
      <c r="H17" s="163"/>
      <c r="I17" s="169"/>
      <c r="J17" s="1"/>
      <c r="K17" s="175"/>
      <c r="L17" s="174"/>
      <c r="M17" s="174"/>
      <c r="N17" s="174"/>
      <c r="O17" s="174"/>
      <c r="P17" s="174"/>
      <c r="Q17" s="179"/>
      <c r="R17" s="179"/>
      <c r="S17" s="180"/>
      <c r="T17" s="1"/>
      <c r="U17" s="37" t="s">
        <v>33</v>
      </c>
      <c r="V17" s="1"/>
      <c r="W17" s="43">
        <v>8.375</v>
      </c>
    </row>
    <row r="18" spans="1:23" x14ac:dyDescent="0.2">
      <c r="A18" s="165"/>
      <c r="B18" s="163"/>
      <c r="C18" s="164"/>
      <c r="D18" s="168"/>
      <c r="E18" s="163"/>
      <c r="F18" s="164"/>
      <c r="G18" s="170"/>
      <c r="H18" s="171"/>
      <c r="I18" s="172"/>
      <c r="J18" s="1"/>
      <c r="K18" s="176"/>
      <c r="L18" s="177"/>
      <c r="M18" s="177"/>
      <c r="N18" s="177"/>
      <c r="O18" s="177"/>
      <c r="P18" s="177"/>
      <c r="Q18" s="181"/>
      <c r="R18" s="181"/>
      <c r="S18" s="182"/>
      <c r="T18" s="1"/>
      <c r="U18" s="37" t="s">
        <v>34</v>
      </c>
      <c r="V18" s="1"/>
      <c r="W18" s="43">
        <v>7.1</v>
      </c>
    </row>
    <row r="19" spans="1:23" x14ac:dyDescent="0.2">
      <c r="A19" s="158" t="s">
        <v>11</v>
      </c>
      <c r="B19" s="159"/>
      <c r="C19" s="88" t="s">
        <v>12</v>
      </c>
      <c r="D19" s="160" t="s">
        <v>11</v>
      </c>
      <c r="E19" s="159"/>
      <c r="F19" s="88" t="s">
        <v>12</v>
      </c>
      <c r="G19" s="160" t="s">
        <v>13</v>
      </c>
      <c r="H19" s="166"/>
      <c r="I19" s="89" t="s">
        <v>12</v>
      </c>
      <c r="J19" s="1"/>
      <c r="K19" s="158" t="s">
        <v>11</v>
      </c>
      <c r="L19" s="159"/>
      <c r="M19" s="88" t="s">
        <v>12</v>
      </c>
      <c r="N19" s="160" t="s">
        <v>11</v>
      </c>
      <c r="O19" s="159"/>
      <c r="P19" s="88" t="s">
        <v>12</v>
      </c>
      <c r="Q19" s="160" t="s">
        <v>13</v>
      </c>
      <c r="R19" s="166"/>
      <c r="S19" s="89" t="s">
        <v>12</v>
      </c>
      <c r="T19" s="1"/>
      <c r="U19" s="37" t="s">
        <v>35</v>
      </c>
      <c r="V19" s="1"/>
      <c r="W19" s="43">
        <v>7.1</v>
      </c>
    </row>
    <row r="20" spans="1:23" x14ac:dyDescent="0.2">
      <c r="A20" s="87" t="s">
        <v>14</v>
      </c>
      <c r="B20" s="24">
        <v>2025</v>
      </c>
      <c r="C20" s="25">
        <v>1.1900000000000001E-2</v>
      </c>
      <c r="D20" s="86" t="s">
        <v>14</v>
      </c>
      <c r="E20" s="24">
        <v>2025</v>
      </c>
      <c r="F20" s="25">
        <v>1.4E-2</v>
      </c>
      <c r="G20" s="86" t="s">
        <v>14</v>
      </c>
      <c r="H20" s="24">
        <v>2025</v>
      </c>
      <c r="I20" s="53">
        <v>1.4E-2</v>
      </c>
      <c r="J20" s="1"/>
      <c r="K20" s="90" t="s">
        <v>14</v>
      </c>
      <c r="L20" s="24">
        <v>2025</v>
      </c>
      <c r="M20" s="25">
        <v>2.98E-3</v>
      </c>
      <c r="N20" s="86" t="s">
        <v>14</v>
      </c>
      <c r="O20" s="24">
        <v>2025</v>
      </c>
      <c r="P20" s="25">
        <v>3.5000000000000001E-3</v>
      </c>
      <c r="Q20" s="86" t="s">
        <v>14</v>
      </c>
      <c r="R20" s="24">
        <v>2025</v>
      </c>
      <c r="S20" s="53">
        <v>3.5000000000000001E-3</v>
      </c>
      <c r="T20" s="1"/>
      <c r="U20" s="37" t="s">
        <v>36</v>
      </c>
      <c r="V20" s="1"/>
      <c r="W20" s="43">
        <v>6.85</v>
      </c>
    </row>
    <row r="21" spans="1:23" x14ac:dyDescent="0.2">
      <c r="A21" s="27" t="s">
        <v>14</v>
      </c>
      <c r="B21" s="44">
        <f>B20-1</f>
        <v>2024</v>
      </c>
      <c r="C21" s="25">
        <f>0.85*0.35*0.04</f>
        <v>1.1900000000000001E-2</v>
      </c>
      <c r="D21" s="24" t="s">
        <v>14</v>
      </c>
      <c r="E21" s="44">
        <f t="shared" ref="E21:E31" si="0">E20-1</f>
        <v>2024</v>
      </c>
      <c r="F21" s="25">
        <f>0.35*0.04</f>
        <v>1.4E-2</v>
      </c>
      <c r="G21" s="24" t="s">
        <v>14</v>
      </c>
      <c r="H21" s="44">
        <f t="shared" ref="H21:H30" si="1">H20-1</f>
        <v>2024</v>
      </c>
      <c r="I21" s="53">
        <f>0.35*0.04</f>
        <v>1.4E-2</v>
      </c>
      <c r="J21" s="1"/>
      <c r="K21" s="27" t="s">
        <v>14</v>
      </c>
      <c r="L21" s="44">
        <f>L20-1</f>
        <v>2024</v>
      </c>
      <c r="M21" s="25">
        <f>0.85*0.35*0.01</f>
        <v>2.98E-3</v>
      </c>
      <c r="N21" s="24" t="s">
        <v>14</v>
      </c>
      <c r="O21" s="44">
        <f>O20-1</f>
        <v>2024</v>
      </c>
      <c r="P21" s="25">
        <f>0.35*0.01</f>
        <v>3.5000000000000001E-3</v>
      </c>
      <c r="Q21" s="24" t="s">
        <v>14</v>
      </c>
      <c r="R21" s="44">
        <f>R20-1</f>
        <v>2024</v>
      </c>
      <c r="S21" s="53">
        <f>0.35*0.01</f>
        <v>3.5000000000000001E-3</v>
      </c>
      <c r="T21" s="1"/>
      <c r="U21" s="37" t="s">
        <v>37</v>
      </c>
      <c r="V21" s="1"/>
      <c r="W21" s="43">
        <v>6.85</v>
      </c>
    </row>
    <row r="22" spans="1:23" x14ac:dyDescent="0.2">
      <c r="A22" s="27" t="s">
        <v>15</v>
      </c>
      <c r="B22" s="44">
        <f>B21-1</f>
        <v>2023</v>
      </c>
      <c r="C22" s="25">
        <f>0.85*0.35*0.04*0.85</f>
        <v>1.0120000000000001E-2</v>
      </c>
      <c r="D22" s="24" t="s">
        <v>15</v>
      </c>
      <c r="E22" s="44">
        <f t="shared" si="0"/>
        <v>2023</v>
      </c>
      <c r="F22" s="25">
        <f>0.35*0.04*0.85</f>
        <v>1.1900000000000001E-2</v>
      </c>
      <c r="G22" s="24" t="s">
        <v>15</v>
      </c>
      <c r="H22" s="44">
        <f t="shared" si="1"/>
        <v>2023</v>
      </c>
      <c r="I22" s="53">
        <f>0.35*0.04*0.95</f>
        <v>1.3299999999999999E-2</v>
      </c>
      <c r="J22" s="1"/>
      <c r="K22" s="27" t="s">
        <v>15</v>
      </c>
      <c r="L22" s="44">
        <f>L21-1</f>
        <v>2023</v>
      </c>
      <c r="M22" s="25">
        <f>0.85*0.35*0.01*0.85</f>
        <v>2.5300000000000001E-3</v>
      </c>
      <c r="N22" s="24" t="s">
        <v>15</v>
      </c>
      <c r="O22" s="44">
        <f>O21-1</f>
        <v>2023</v>
      </c>
      <c r="P22" s="25">
        <f>0.35*0.01*0.85</f>
        <v>2.98E-3</v>
      </c>
      <c r="Q22" s="24" t="s">
        <v>15</v>
      </c>
      <c r="R22" s="44">
        <f>R21-1</f>
        <v>2023</v>
      </c>
      <c r="S22" s="53">
        <f>0.35*0.01*0.95</f>
        <v>3.3300000000000001E-3</v>
      </c>
      <c r="T22" s="1"/>
      <c r="U22" s="37" t="s">
        <v>38</v>
      </c>
      <c r="V22" s="1"/>
      <c r="W22" s="43">
        <v>6.85</v>
      </c>
    </row>
    <row r="23" spans="1:23" x14ac:dyDescent="0.2">
      <c r="A23" s="27" t="s">
        <v>16</v>
      </c>
      <c r="B23" s="44">
        <f t="shared" ref="B23:B31" si="2">B22-1</f>
        <v>2022</v>
      </c>
      <c r="C23" s="25">
        <f>0.85*0.35*0.04*0.69</f>
        <v>8.2100000000000003E-3</v>
      </c>
      <c r="D23" s="24" t="s">
        <v>16</v>
      </c>
      <c r="E23" s="44">
        <f t="shared" si="0"/>
        <v>2022</v>
      </c>
      <c r="F23" s="25">
        <f>0.35*0.04*0.69</f>
        <v>9.6600000000000002E-3</v>
      </c>
      <c r="G23" s="24" t="s">
        <v>17</v>
      </c>
      <c r="H23" s="44">
        <f t="shared" si="1"/>
        <v>2022</v>
      </c>
      <c r="I23" s="53">
        <f>0.35*0.04*0.85</f>
        <v>1.1900000000000001E-2</v>
      </c>
      <c r="J23" s="1"/>
      <c r="K23" s="27" t="s">
        <v>16</v>
      </c>
      <c r="L23" s="44">
        <f t="shared" ref="L23:L31" si="3">L22-1</f>
        <v>2022</v>
      </c>
      <c r="M23" s="25">
        <f>0.85*0.35*0.01*0.69</f>
        <v>2.0500000000000002E-3</v>
      </c>
      <c r="N23" s="24" t="s">
        <v>16</v>
      </c>
      <c r="O23" s="44">
        <f t="shared" ref="O23:O31" si="4">O22-1</f>
        <v>2022</v>
      </c>
      <c r="P23" s="25">
        <f>0.35*0.01*0.69</f>
        <v>2.4199999999999998E-3</v>
      </c>
      <c r="Q23" s="24" t="s">
        <v>17</v>
      </c>
      <c r="R23" s="44">
        <f t="shared" ref="R23:R30" si="5">R22-1</f>
        <v>2022</v>
      </c>
      <c r="S23" s="53">
        <f>0.35*0.01*0.85</f>
        <v>2.98E-3</v>
      </c>
      <c r="T23" s="1"/>
      <c r="U23" s="37" t="s">
        <v>39</v>
      </c>
      <c r="V23" s="1"/>
      <c r="W23" s="43">
        <v>7.1</v>
      </c>
    </row>
    <row r="24" spans="1:23" x14ac:dyDescent="0.2">
      <c r="A24" s="27" t="s">
        <v>18</v>
      </c>
      <c r="B24" s="44">
        <f t="shared" si="2"/>
        <v>2021</v>
      </c>
      <c r="C24" s="25">
        <f>0.85*0.35*0.04*0.57</f>
        <v>6.7799999999999996E-3</v>
      </c>
      <c r="D24" s="24" t="s">
        <v>18</v>
      </c>
      <c r="E24" s="44">
        <f t="shared" si="0"/>
        <v>2021</v>
      </c>
      <c r="F24" s="25">
        <f>0.35*0.04*0.57</f>
        <v>7.9799999999999992E-3</v>
      </c>
      <c r="G24" s="24" t="s">
        <v>18</v>
      </c>
      <c r="H24" s="44">
        <f t="shared" si="1"/>
        <v>2021</v>
      </c>
      <c r="I24" s="53">
        <f>0.35*0.04*0.75</f>
        <v>1.0500000000000001E-2</v>
      </c>
      <c r="J24" s="1"/>
      <c r="K24" s="27" t="s">
        <v>18</v>
      </c>
      <c r="L24" s="44">
        <f t="shared" si="3"/>
        <v>2021</v>
      </c>
      <c r="M24" s="25">
        <f>0.85*0.35*0.01*0.57</f>
        <v>1.6999999999999999E-3</v>
      </c>
      <c r="N24" s="24" t="s">
        <v>18</v>
      </c>
      <c r="O24" s="44">
        <f t="shared" si="4"/>
        <v>2021</v>
      </c>
      <c r="P24" s="25">
        <f>0.35*0.01*0.57</f>
        <v>2E-3</v>
      </c>
      <c r="Q24" s="24" t="s">
        <v>18</v>
      </c>
      <c r="R24" s="44">
        <f t="shared" si="5"/>
        <v>2021</v>
      </c>
      <c r="S24" s="53">
        <f>0.35*0.01*0.75</f>
        <v>2.63E-3</v>
      </c>
      <c r="T24" s="1"/>
      <c r="U24" s="37" t="s">
        <v>40</v>
      </c>
      <c r="V24" s="1"/>
      <c r="W24" s="43">
        <v>7.1</v>
      </c>
    </row>
    <row r="25" spans="1:23" x14ac:dyDescent="0.2">
      <c r="A25" s="27" t="s">
        <v>19</v>
      </c>
      <c r="B25" s="44">
        <f t="shared" si="2"/>
        <v>2020</v>
      </c>
      <c r="C25" s="25">
        <f>0.85*0.35*0.04*0.47</f>
        <v>5.5900000000000004E-3</v>
      </c>
      <c r="D25" s="24" t="s">
        <v>19</v>
      </c>
      <c r="E25" s="44">
        <f t="shared" si="0"/>
        <v>2020</v>
      </c>
      <c r="F25" s="25">
        <f>0.35*0.04*0.47</f>
        <v>6.5799999999999999E-3</v>
      </c>
      <c r="G25" s="24" t="s">
        <v>19</v>
      </c>
      <c r="H25" s="44">
        <f t="shared" si="1"/>
        <v>2020</v>
      </c>
      <c r="I25" s="53">
        <f>0.35*0.04*0.65</f>
        <v>9.1000000000000004E-3</v>
      </c>
      <c r="J25" s="1"/>
      <c r="K25" s="27" t="s">
        <v>19</v>
      </c>
      <c r="L25" s="44">
        <f t="shared" si="3"/>
        <v>2020</v>
      </c>
      <c r="M25" s="25">
        <f>0.85*0.35*0.01*0.47</f>
        <v>1.4E-3</v>
      </c>
      <c r="N25" s="24" t="s">
        <v>19</v>
      </c>
      <c r="O25" s="44">
        <f t="shared" si="4"/>
        <v>2020</v>
      </c>
      <c r="P25" s="25">
        <f>0.35*0.01*0.47</f>
        <v>1.65E-3</v>
      </c>
      <c r="Q25" s="24" t="s">
        <v>19</v>
      </c>
      <c r="R25" s="44">
        <f t="shared" si="5"/>
        <v>2020</v>
      </c>
      <c r="S25" s="53">
        <f>0.35*0.01*0.65</f>
        <v>2.2799999999999999E-3</v>
      </c>
      <c r="T25" s="1"/>
      <c r="U25" s="37" t="s">
        <v>41</v>
      </c>
      <c r="V25" s="1"/>
      <c r="W25" s="43">
        <v>7.1</v>
      </c>
    </row>
    <row r="26" spans="1:23" x14ac:dyDescent="0.2">
      <c r="A26" s="27" t="s">
        <v>20</v>
      </c>
      <c r="B26" s="44">
        <f t="shared" si="2"/>
        <v>2019</v>
      </c>
      <c r="C26" s="25">
        <f>0.85*0.35*0.04*0.38</f>
        <v>4.5199999999999997E-3</v>
      </c>
      <c r="D26" s="24" t="s">
        <v>20</v>
      </c>
      <c r="E26" s="44">
        <f t="shared" si="0"/>
        <v>2019</v>
      </c>
      <c r="F26" s="25">
        <f>0.35*0.04*0.38</f>
        <v>5.3200000000000001E-3</v>
      </c>
      <c r="G26" s="24" t="s">
        <v>21</v>
      </c>
      <c r="H26" s="44">
        <f t="shared" si="1"/>
        <v>2019</v>
      </c>
      <c r="I26" s="53">
        <f>0.35*0.04*0.55</f>
        <v>7.7000000000000002E-3</v>
      </c>
      <c r="J26" s="1"/>
      <c r="K26" s="27" t="s">
        <v>20</v>
      </c>
      <c r="L26" s="44">
        <f t="shared" si="3"/>
        <v>2019</v>
      </c>
      <c r="M26" s="25">
        <f>0.85*0.35*0.01*0.38</f>
        <v>1.1299999999999999E-3</v>
      </c>
      <c r="N26" s="24" t="s">
        <v>20</v>
      </c>
      <c r="O26" s="44">
        <f t="shared" si="4"/>
        <v>2019</v>
      </c>
      <c r="P26" s="25">
        <f>0.35*0.01*0.38</f>
        <v>1.33E-3</v>
      </c>
      <c r="Q26" s="24" t="s">
        <v>21</v>
      </c>
      <c r="R26" s="44">
        <f t="shared" si="5"/>
        <v>2019</v>
      </c>
      <c r="S26" s="53">
        <f>0.35*0.01*0.55</f>
        <v>1.9300000000000001E-3</v>
      </c>
      <c r="T26" s="1"/>
      <c r="U26" s="37" t="s">
        <v>42</v>
      </c>
      <c r="V26" s="1"/>
      <c r="W26" s="43">
        <v>6.85</v>
      </c>
    </row>
    <row r="27" spans="1:23" x14ac:dyDescent="0.2">
      <c r="A27" s="27" t="s">
        <v>22</v>
      </c>
      <c r="B27" s="44">
        <f t="shared" si="2"/>
        <v>2018</v>
      </c>
      <c r="C27" s="25">
        <f>0.85*0.35*0.04*0.33</f>
        <v>3.9300000000000003E-3</v>
      </c>
      <c r="D27" s="24" t="s">
        <v>22</v>
      </c>
      <c r="E27" s="44">
        <f t="shared" si="0"/>
        <v>2018</v>
      </c>
      <c r="F27" s="25">
        <f>0.35*0.04*0.33</f>
        <v>4.62E-3</v>
      </c>
      <c r="G27" s="24" t="s">
        <v>22</v>
      </c>
      <c r="H27" s="44">
        <f t="shared" si="1"/>
        <v>2018</v>
      </c>
      <c r="I27" s="53">
        <f>0.35*0.04*0.45</f>
        <v>6.3E-3</v>
      </c>
      <c r="J27" s="1"/>
      <c r="K27" s="27" t="s">
        <v>22</v>
      </c>
      <c r="L27" s="44">
        <f t="shared" si="3"/>
        <v>2018</v>
      </c>
      <c r="M27" s="25">
        <f>0.85*0.35*0.01*0.33</f>
        <v>9.7999999999999997E-4</v>
      </c>
      <c r="N27" s="24" t="s">
        <v>22</v>
      </c>
      <c r="O27" s="44">
        <f t="shared" si="4"/>
        <v>2018</v>
      </c>
      <c r="P27" s="25">
        <f>0.35*0.01*0.33</f>
        <v>1.16E-3</v>
      </c>
      <c r="Q27" s="24" t="s">
        <v>22</v>
      </c>
      <c r="R27" s="44">
        <f t="shared" si="5"/>
        <v>2018</v>
      </c>
      <c r="S27" s="53">
        <f>0.35*0.01*0.45</f>
        <v>1.58E-3</v>
      </c>
      <c r="T27" s="1"/>
      <c r="U27" s="37" t="s">
        <v>43</v>
      </c>
      <c r="V27" s="1"/>
      <c r="W27" s="43">
        <v>7.6</v>
      </c>
    </row>
    <row r="28" spans="1:23" x14ac:dyDescent="0.2">
      <c r="A28" s="27" t="s">
        <v>23</v>
      </c>
      <c r="B28" s="44">
        <f t="shared" si="2"/>
        <v>2017</v>
      </c>
      <c r="C28" s="25">
        <f>0.85*0.35*0.04*0.3</f>
        <v>3.5699999999999998E-3</v>
      </c>
      <c r="D28" s="24" t="s">
        <v>23</v>
      </c>
      <c r="E28" s="44">
        <f t="shared" si="0"/>
        <v>2017</v>
      </c>
      <c r="F28" s="25">
        <f>0.35*0.04*0.3</f>
        <v>4.1999999999999997E-3</v>
      </c>
      <c r="G28" s="24" t="s">
        <v>24</v>
      </c>
      <c r="H28" s="44">
        <f t="shared" si="1"/>
        <v>2017</v>
      </c>
      <c r="I28" s="53">
        <f>0.35*0.04*0.35</f>
        <v>4.8999999999999998E-3</v>
      </c>
      <c r="J28" s="1"/>
      <c r="K28" s="27" t="s">
        <v>23</v>
      </c>
      <c r="L28" s="44">
        <f t="shared" si="3"/>
        <v>2017</v>
      </c>
      <c r="M28" s="25">
        <f>0.85*0.35*0.01*0.3</f>
        <v>8.8999999999999995E-4</v>
      </c>
      <c r="N28" s="24" t="s">
        <v>23</v>
      </c>
      <c r="O28" s="44">
        <f t="shared" si="4"/>
        <v>2017</v>
      </c>
      <c r="P28" s="25">
        <f>0.35*0.01*0.3</f>
        <v>1.0499999999999999E-3</v>
      </c>
      <c r="Q28" s="24" t="s">
        <v>24</v>
      </c>
      <c r="R28" s="44">
        <f t="shared" si="5"/>
        <v>2017</v>
      </c>
      <c r="S28" s="53">
        <f>0.35*0.01*0.35</f>
        <v>1.23E-3</v>
      </c>
      <c r="T28" s="1"/>
      <c r="U28" s="37" t="s">
        <v>44</v>
      </c>
      <c r="V28" s="1"/>
      <c r="W28" s="43">
        <v>7.1</v>
      </c>
    </row>
    <row r="29" spans="1:23" x14ac:dyDescent="0.2">
      <c r="A29" s="27" t="s">
        <v>25</v>
      </c>
      <c r="B29" s="44">
        <f t="shared" si="2"/>
        <v>2016</v>
      </c>
      <c r="C29" s="25">
        <f>0.85*0.35*0.04*0.27</f>
        <v>3.2100000000000002E-3</v>
      </c>
      <c r="D29" s="24" t="s">
        <v>25</v>
      </c>
      <c r="E29" s="44">
        <f t="shared" si="0"/>
        <v>2016</v>
      </c>
      <c r="F29" s="25">
        <f>0.35*0.04*0.27</f>
        <v>3.7799999999999999E-3</v>
      </c>
      <c r="G29" s="24" t="s">
        <v>26</v>
      </c>
      <c r="H29" s="44">
        <f t="shared" si="1"/>
        <v>2016</v>
      </c>
      <c r="I29" s="53">
        <f>0.35*0.04*0.25</f>
        <v>3.5000000000000001E-3</v>
      </c>
      <c r="J29" s="1"/>
      <c r="K29" s="27" t="s">
        <v>25</v>
      </c>
      <c r="L29" s="44">
        <f t="shared" si="3"/>
        <v>2016</v>
      </c>
      <c r="M29" s="25">
        <f>0.85*0.35*0.01*0.27</f>
        <v>8.0000000000000004E-4</v>
      </c>
      <c r="N29" s="24" t="s">
        <v>25</v>
      </c>
      <c r="O29" s="44">
        <f t="shared" si="4"/>
        <v>2016</v>
      </c>
      <c r="P29" s="25">
        <f>0.35*0.01*0.27</f>
        <v>9.5E-4</v>
      </c>
      <c r="Q29" s="24" t="s">
        <v>26</v>
      </c>
      <c r="R29" s="44">
        <f t="shared" si="5"/>
        <v>2016</v>
      </c>
      <c r="S29" s="53">
        <f>0.35*0.01*0.25</f>
        <v>8.8000000000000003E-4</v>
      </c>
      <c r="T29" s="1"/>
      <c r="U29" s="37" t="s">
        <v>45</v>
      </c>
      <c r="V29" s="1"/>
      <c r="W29" s="43">
        <v>7.6</v>
      </c>
    </row>
    <row r="30" spans="1:23" x14ac:dyDescent="0.2">
      <c r="A30" s="27" t="s">
        <v>27</v>
      </c>
      <c r="B30" s="44">
        <f t="shared" si="2"/>
        <v>2015</v>
      </c>
      <c r="C30" s="25">
        <f>0.85*0.35*0.04*0.25</f>
        <v>2.98E-3</v>
      </c>
      <c r="D30" s="24" t="s">
        <v>27</v>
      </c>
      <c r="E30" s="44">
        <f t="shared" si="0"/>
        <v>2015</v>
      </c>
      <c r="F30" s="25">
        <f>0.35*0.04*0.25</f>
        <v>3.5000000000000001E-3</v>
      </c>
      <c r="G30" s="24" t="s">
        <v>28</v>
      </c>
      <c r="H30" s="44">
        <f t="shared" si="1"/>
        <v>2015</v>
      </c>
      <c r="I30" s="53">
        <f>0.35*0.04*0.15</f>
        <v>2.0999999999999999E-3</v>
      </c>
      <c r="J30" s="1"/>
      <c r="K30" s="27" t="s">
        <v>27</v>
      </c>
      <c r="L30" s="44">
        <f t="shared" si="3"/>
        <v>2015</v>
      </c>
      <c r="M30" s="25">
        <f>0.85*0.35*0.01*0.25</f>
        <v>7.3999999999999999E-4</v>
      </c>
      <c r="N30" s="24" t="s">
        <v>27</v>
      </c>
      <c r="O30" s="44">
        <f t="shared" si="4"/>
        <v>2015</v>
      </c>
      <c r="P30" s="25">
        <f>0.35*0.01*0.25</f>
        <v>8.8000000000000003E-4</v>
      </c>
      <c r="Q30" s="24" t="s">
        <v>28</v>
      </c>
      <c r="R30" s="44">
        <f t="shared" si="5"/>
        <v>2015</v>
      </c>
      <c r="S30" s="53">
        <f>0.35*0.01*0.15</f>
        <v>5.2999999999999998E-4</v>
      </c>
      <c r="T30" s="1"/>
      <c r="U30" s="37" t="s">
        <v>46</v>
      </c>
      <c r="V30" s="1"/>
      <c r="W30" s="43">
        <v>8.2650000000000006</v>
      </c>
    </row>
    <row r="31" spans="1:23" ht="13.5" thickBot="1" x14ac:dyDescent="0.25">
      <c r="A31" s="28" t="s">
        <v>29</v>
      </c>
      <c r="B31" s="45">
        <f t="shared" si="2"/>
        <v>2014</v>
      </c>
      <c r="C31" s="26">
        <f>0.85*0.35*0.04*0.23</f>
        <v>2.7399999999999998E-3</v>
      </c>
      <c r="D31" s="28" t="s">
        <v>29</v>
      </c>
      <c r="E31" s="45">
        <f t="shared" si="0"/>
        <v>2014</v>
      </c>
      <c r="F31" s="26">
        <f>0.35*0.04*0.23</f>
        <v>3.2200000000000002E-3</v>
      </c>
      <c r="G31" s="29"/>
      <c r="H31" s="45"/>
      <c r="I31" s="59"/>
      <c r="J31" s="1"/>
      <c r="K31" s="63" t="s">
        <v>29</v>
      </c>
      <c r="L31" s="44">
        <f t="shared" si="3"/>
        <v>2014</v>
      </c>
      <c r="M31" s="25">
        <f>0.85*0.35*0.01*0.23</f>
        <v>6.8000000000000005E-4</v>
      </c>
      <c r="N31" s="63" t="s">
        <v>29</v>
      </c>
      <c r="O31" s="44">
        <f t="shared" si="4"/>
        <v>2014</v>
      </c>
      <c r="P31" s="25">
        <f>0.35*0.01*0.23</f>
        <v>8.0999999999999996E-4</v>
      </c>
      <c r="Q31" s="24"/>
      <c r="R31" s="44"/>
      <c r="S31" s="53"/>
      <c r="T31" s="1"/>
      <c r="U31" s="120" t="s">
        <v>47</v>
      </c>
      <c r="V31" s="121"/>
      <c r="W31" s="31">
        <v>7.7249999999999996</v>
      </c>
    </row>
    <row r="32" spans="1:23" ht="3.75" customHeight="1" x14ac:dyDescent="0.2">
      <c r="A32" s="58"/>
      <c r="B32" s="60"/>
      <c r="C32" s="61"/>
      <c r="D32" s="58"/>
      <c r="E32" s="60"/>
      <c r="F32" s="61"/>
      <c r="G32" s="58"/>
      <c r="H32" s="62" t="s">
        <v>50</v>
      </c>
      <c r="I32" s="58"/>
      <c r="J32" s="1"/>
      <c r="K32" s="64"/>
      <c r="L32" s="60"/>
      <c r="M32" s="61"/>
      <c r="N32" s="64"/>
      <c r="O32" s="60"/>
      <c r="P32" s="61"/>
      <c r="Q32" s="58"/>
      <c r="R32" s="65"/>
      <c r="S32" s="58"/>
      <c r="T32" s="1"/>
      <c r="U32" s="122"/>
      <c r="V32" s="123"/>
      <c r="W32" s="58"/>
    </row>
    <row r="33" spans="1:23" ht="3.75" customHeight="1" thickBot="1" x14ac:dyDescent="0.25">
      <c r="A33" s="17"/>
      <c r="B33" s="2"/>
      <c r="C33" s="30"/>
      <c r="D33" s="17"/>
      <c r="E33" s="2"/>
      <c r="F33" s="30"/>
      <c r="G33" s="17"/>
      <c r="H33" s="2"/>
      <c r="I33" s="17"/>
      <c r="J33" s="1"/>
      <c r="K33" s="17"/>
      <c r="L33" s="2"/>
      <c r="M33" s="30"/>
      <c r="N33" s="17"/>
      <c r="O33" s="2"/>
      <c r="P33" s="30"/>
      <c r="Q33" s="17"/>
      <c r="R33" s="2"/>
      <c r="S33" s="17"/>
      <c r="T33" s="1"/>
      <c r="U33" s="1"/>
      <c r="V33" s="1"/>
      <c r="W33" s="1"/>
    </row>
    <row r="34" spans="1:23" ht="13.5" thickBot="1" x14ac:dyDescent="0.25">
      <c r="A34" s="17"/>
      <c r="B34" s="2"/>
      <c r="C34" s="124" t="s">
        <v>67</v>
      </c>
      <c r="D34" s="125"/>
      <c r="E34" s="125"/>
      <c r="F34" s="125"/>
      <c r="G34" s="125"/>
      <c r="H34" s="125"/>
      <c r="I34" s="125"/>
      <c r="J34" s="125"/>
      <c r="K34" s="125"/>
      <c r="L34" s="125"/>
      <c r="M34" s="125"/>
      <c r="N34" s="125"/>
      <c r="O34" s="125"/>
      <c r="P34" s="125"/>
      <c r="Q34" s="126"/>
      <c r="R34" s="2"/>
      <c r="S34" s="17"/>
      <c r="T34" s="1"/>
      <c r="U34" s="38"/>
      <c r="V34" s="1"/>
      <c r="W34" s="17"/>
    </row>
    <row r="35" spans="1:23" ht="4.5" customHeight="1" thickBot="1" x14ac:dyDescent="0.25">
      <c r="A35" s="17"/>
      <c r="B35" s="2"/>
      <c r="C35" s="30"/>
      <c r="D35" s="17"/>
      <c r="E35" s="2"/>
      <c r="F35" s="30"/>
      <c r="G35" s="17"/>
      <c r="H35" s="2"/>
      <c r="I35" s="17"/>
      <c r="J35" s="1"/>
      <c r="K35" s="17"/>
      <c r="L35" s="2"/>
      <c r="M35" s="30"/>
      <c r="N35" s="17"/>
      <c r="O35" s="2"/>
      <c r="P35" s="30"/>
      <c r="Q35" s="17"/>
      <c r="R35" s="2"/>
      <c r="S35" s="17"/>
      <c r="T35" s="1"/>
      <c r="U35" s="38"/>
      <c r="V35" s="1"/>
      <c r="W35" s="17"/>
    </row>
    <row r="36" spans="1:23" x14ac:dyDescent="0.2">
      <c r="A36" s="127" t="s">
        <v>55</v>
      </c>
      <c r="B36" s="128"/>
      <c r="C36" s="128"/>
      <c r="D36" s="128"/>
      <c r="E36" s="128"/>
      <c r="F36" s="128"/>
      <c r="G36" s="129"/>
      <c r="H36" s="1"/>
      <c r="I36" s="130" t="s">
        <v>62</v>
      </c>
      <c r="J36" s="131"/>
      <c r="K36" s="131"/>
      <c r="L36" s="131"/>
      <c r="M36" s="131"/>
      <c r="N36" s="131"/>
      <c r="O36" s="131"/>
      <c r="P36" s="131"/>
      <c r="Q36" s="131"/>
      <c r="R36" s="131"/>
      <c r="S36" s="132"/>
      <c r="T36" s="1"/>
      <c r="U36" s="107" t="s">
        <v>70</v>
      </c>
      <c r="V36" s="108"/>
      <c r="W36" s="136"/>
    </row>
    <row r="37" spans="1:23" x14ac:dyDescent="0.2">
      <c r="A37" s="141" t="s">
        <v>99</v>
      </c>
      <c r="B37" s="142"/>
      <c r="C37" s="142"/>
      <c r="D37" s="142"/>
      <c r="E37" s="142"/>
      <c r="F37" s="142"/>
      <c r="G37" s="143"/>
      <c r="H37" s="1"/>
      <c r="I37" s="133"/>
      <c r="J37" s="134"/>
      <c r="K37" s="134"/>
      <c r="L37" s="134"/>
      <c r="M37" s="134"/>
      <c r="N37" s="134"/>
      <c r="O37" s="134"/>
      <c r="P37" s="134"/>
      <c r="Q37" s="134"/>
      <c r="R37" s="134"/>
      <c r="S37" s="135"/>
      <c r="T37" s="1"/>
      <c r="U37" s="137"/>
      <c r="V37" s="138"/>
      <c r="W37" s="139"/>
    </row>
    <row r="38" spans="1:23" x14ac:dyDescent="0.2">
      <c r="A38" s="144"/>
      <c r="B38" s="145"/>
      <c r="C38" s="145"/>
      <c r="D38" s="145"/>
      <c r="E38" s="145"/>
      <c r="F38" s="145"/>
      <c r="G38" s="146"/>
      <c r="H38" s="1"/>
      <c r="I38" s="21">
        <v>11</v>
      </c>
      <c r="J38" s="17">
        <v>10</v>
      </c>
      <c r="K38" s="17">
        <v>9</v>
      </c>
      <c r="L38" s="17">
        <v>8</v>
      </c>
      <c r="M38" s="17">
        <v>7</v>
      </c>
      <c r="N38" s="17">
        <v>6</v>
      </c>
      <c r="O38" s="17">
        <v>5</v>
      </c>
      <c r="P38" s="17">
        <v>4</v>
      </c>
      <c r="Q38" s="17">
        <v>3</v>
      </c>
      <c r="R38" s="17">
        <v>2</v>
      </c>
      <c r="S38" s="18">
        <v>1</v>
      </c>
      <c r="T38" s="1"/>
      <c r="U38" s="137"/>
      <c r="V38" s="138"/>
      <c r="W38" s="139"/>
    </row>
    <row r="39" spans="1:23" x14ac:dyDescent="0.2">
      <c r="A39" s="144"/>
      <c r="B39" s="145"/>
      <c r="C39" s="145"/>
      <c r="D39" s="145"/>
      <c r="E39" s="145"/>
      <c r="F39" s="145"/>
      <c r="G39" s="146"/>
      <c r="H39" s="1" t="s">
        <v>50</v>
      </c>
      <c r="I39" s="21" t="s">
        <v>0</v>
      </c>
      <c r="J39" s="17" t="s">
        <v>1</v>
      </c>
      <c r="K39" s="17" t="s">
        <v>2</v>
      </c>
      <c r="L39" s="17" t="s">
        <v>3</v>
      </c>
      <c r="M39" s="17" t="s">
        <v>4</v>
      </c>
      <c r="N39" s="17" t="s">
        <v>5</v>
      </c>
      <c r="O39" s="17" t="s">
        <v>6</v>
      </c>
      <c r="P39" s="17" t="s">
        <v>7</v>
      </c>
      <c r="Q39" s="17" t="s">
        <v>8</v>
      </c>
      <c r="R39" s="17" t="s">
        <v>9</v>
      </c>
      <c r="S39" s="18" t="s">
        <v>10</v>
      </c>
      <c r="T39" s="1"/>
      <c r="U39" s="137"/>
      <c r="V39" s="138"/>
      <c r="W39" s="139"/>
    </row>
    <row r="40" spans="1:23" x14ac:dyDescent="0.2">
      <c r="A40" s="147"/>
      <c r="B40" s="148"/>
      <c r="C40" s="148"/>
      <c r="D40" s="148"/>
      <c r="E40" s="148"/>
      <c r="F40" s="148"/>
      <c r="G40" s="149"/>
      <c r="H40" s="1"/>
      <c r="I40" s="23">
        <v>0.91666000000000003</v>
      </c>
      <c r="J40" s="19">
        <v>0.83333000000000002</v>
      </c>
      <c r="K40" s="19">
        <v>0.75</v>
      </c>
      <c r="L40" s="19">
        <v>0.66666000000000003</v>
      </c>
      <c r="M40" s="19">
        <v>0.58333000000000002</v>
      </c>
      <c r="N40" s="19">
        <v>0.5</v>
      </c>
      <c r="O40" s="19">
        <v>0.41665999999999997</v>
      </c>
      <c r="P40" s="19">
        <v>0.33333000000000002</v>
      </c>
      <c r="Q40" s="19">
        <v>0.25</v>
      </c>
      <c r="R40" s="19">
        <v>0.16666</v>
      </c>
      <c r="S40" s="20">
        <v>8.3330000000000001E-2</v>
      </c>
      <c r="T40" s="1"/>
      <c r="U40" s="137"/>
      <c r="V40" s="138"/>
      <c r="W40" s="139"/>
    </row>
    <row r="41" spans="1:23" x14ac:dyDescent="0.2">
      <c r="B41" s="198" t="s">
        <v>84</v>
      </c>
      <c r="C41" s="199"/>
      <c r="D41" s="199"/>
      <c r="E41" s="200"/>
      <c r="F41" s="150" t="s">
        <v>63</v>
      </c>
      <c r="G41" s="150"/>
      <c r="H41" s="1"/>
      <c r="I41" s="1"/>
      <c r="J41" s="1"/>
      <c r="K41" s="1"/>
      <c r="L41" s="1"/>
      <c r="M41" s="1"/>
      <c r="N41" s="1"/>
      <c r="O41" s="1"/>
      <c r="P41" s="1"/>
      <c r="Q41" s="1"/>
      <c r="R41" s="1"/>
      <c r="S41" s="1"/>
      <c r="T41" s="1"/>
      <c r="U41" s="137"/>
      <c r="V41" s="138"/>
      <c r="W41" s="139"/>
    </row>
    <row r="42" spans="1:23" ht="13.5" thickBot="1" x14ac:dyDescent="0.25">
      <c r="A42" s="4"/>
      <c r="B42" s="83"/>
      <c r="C42" s="84" t="s">
        <v>68</v>
      </c>
      <c r="D42" s="157" t="s">
        <v>83</v>
      </c>
      <c r="E42" s="157"/>
      <c r="F42" s="83"/>
      <c r="G42" s="85"/>
      <c r="H42" s="1"/>
      <c r="I42" s="10" t="s">
        <v>51</v>
      </c>
      <c r="J42" s="16"/>
      <c r="K42" s="5"/>
      <c r="L42" s="5"/>
      <c r="M42" s="5"/>
      <c r="N42" s="5"/>
      <c r="O42" s="5"/>
      <c r="P42" s="5"/>
      <c r="Q42" s="5"/>
      <c r="R42" s="5"/>
      <c r="S42" s="6"/>
      <c r="T42" s="1"/>
      <c r="U42" s="137"/>
      <c r="V42" s="138"/>
      <c r="W42" s="139"/>
    </row>
    <row r="43" spans="1:23" x14ac:dyDescent="0.2">
      <c r="A43" s="4"/>
      <c r="B43" s="21">
        <v>2025</v>
      </c>
      <c r="C43" s="47">
        <f t="shared" ref="C43:D50" si="6">ROUND((C44)+C44*0.015,0)</f>
        <v>110236</v>
      </c>
      <c r="D43" s="151">
        <f t="shared" si="6"/>
        <v>141012</v>
      </c>
      <c r="E43" s="152"/>
      <c r="F43" s="21">
        <v>2025</v>
      </c>
      <c r="G43" s="51">
        <f t="shared" ref="G43:G50" si="7">ROUND((G44)+G44*0.0175,0)</f>
        <v>540695</v>
      </c>
      <c r="H43" s="1"/>
      <c r="I43" s="11" t="s">
        <v>56</v>
      </c>
      <c r="S43" s="46"/>
      <c r="T43" s="1"/>
      <c r="U43" s="137"/>
      <c r="V43" s="138"/>
      <c r="W43" s="139"/>
    </row>
    <row r="44" spans="1:23" x14ac:dyDescent="0.2">
      <c r="A44" s="4"/>
      <c r="B44" s="21">
        <f t="shared" ref="B44:B45" si="8">SUM(B43-1)</f>
        <v>2024</v>
      </c>
      <c r="C44" s="47">
        <f t="shared" si="6"/>
        <v>108607</v>
      </c>
      <c r="D44" s="151">
        <f t="shared" si="6"/>
        <v>138928</v>
      </c>
      <c r="E44" s="152"/>
      <c r="F44" s="21">
        <f t="shared" ref="F44:F45" si="9">SUM(F43-1)</f>
        <v>2024</v>
      </c>
      <c r="G44" s="51">
        <f t="shared" si="7"/>
        <v>531396</v>
      </c>
      <c r="H44" s="1"/>
      <c r="I44" s="11"/>
      <c r="J44" s="68"/>
      <c r="K44" s="68"/>
      <c r="L44" s="68"/>
      <c r="M44" s="1"/>
      <c r="N44" s="1"/>
      <c r="O44" s="1"/>
      <c r="P44" s="1"/>
      <c r="Q44" s="1"/>
      <c r="R44" s="1"/>
      <c r="S44" s="7"/>
      <c r="T44" s="1"/>
      <c r="U44" s="137"/>
      <c r="V44" s="138"/>
      <c r="W44" s="139"/>
    </row>
    <row r="45" spans="1:23" x14ac:dyDescent="0.2">
      <c r="A45" s="4"/>
      <c r="B45" s="21">
        <f t="shared" si="8"/>
        <v>2023</v>
      </c>
      <c r="C45" s="47">
        <f t="shared" si="6"/>
        <v>107002</v>
      </c>
      <c r="D45" s="151">
        <f t="shared" si="6"/>
        <v>136875</v>
      </c>
      <c r="E45" s="152"/>
      <c r="F45" s="21">
        <f t="shared" si="9"/>
        <v>2023</v>
      </c>
      <c r="G45" s="51">
        <f t="shared" si="7"/>
        <v>522257</v>
      </c>
      <c r="H45" s="1"/>
      <c r="I45" s="32" t="s">
        <v>97</v>
      </c>
      <c r="J45" s="38"/>
      <c r="K45" s="38"/>
      <c r="L45" s="66">
        <f>D47</f>
        <v>132859</v>
      </c>
      <c r="M45" s="69" t="s">
        <v>72</v>
      </c>
      <c r="N45" s="38">
        <v>6.7799999999999996E-3</v>
      </c>
      <c r="O45" s="69" t="s">
        <v>73</v>
      </c>
      <c r="P45" s="67">
        <f>SUM(L45*N45)</f>
        <v>900.78</v>
      </c>
      <c r="Q45" s="1"/>
      <c r="R45" s="1"/>
      <c r="S45" s="7"/>
      <c r="T45" s="1"/>
      <c r="U45" s="137"/>
      <c r="V45" s="138"/>
      <c r="W45" s="139"/>
    </row>
    <row r="46" spans="1:23" x14ac:dyDescent="0.2">
      <c r="A46" s="4"/>
      <c r="B46" s="21">
        <f>SUM(B45-1)</f>
        <v>2022</v>
      </c>
      <c r="C46" s="47">
        <f t="shared" si="6"/>
        <v>105421</v>
      </c>
      <c r="D46" s="151">
        <f t="shared" si="6"/>
        <v>134852</v>
      </c>
      <c r="E46" s="152"/>
      <c r="F46" s="21">
        <f>SUM(F45-1)</f>
        <v>2022</v>
      </c>
      <c r="G46" s="51">
        <f t="shared" si="7"/>
        <v>513275</v>
      </c>
      <c r="H46" s="1"/>
      <c r="I46" s="70">
        <f>P45</f>
        <v>900.78</v>
      </c>
      <c r="J46" s="38" t="s">
        <v>74</v>
      </c>
      <c r="K46" s="38"/>
      <c r="L46" s="38"/>
      <c r="M46" s="71">
        <v>887</v>
      </c>
      <c r="N46" s="38"/>
      <c r="O46" s="54"/>
      <c r="P46" s="1"/>
      <c r="Q46" s="2"/>
      <c r="R46" s="3"/>
      <c r="S46" s="7"/>
      <c r="T46" s="1"/>
      <c r="U46" s="137"/>
      <c r="V46" s="138"/>
      <c r="W46" s="139"/>
    </row>
    <row r="47" spans="1:23" x14ac:dyDescent="0.2">
      <c r="A47" s="4"/>
      <c r="B47" s="21">
        <f t="shared" ref="B47:B79" si="10">SUM(B46-1)</f>
        <v>2021</v>
      </c>
      <c r="C47" s="47">
        <f t="shared" si="6"/>
        <v>103863</v>
      </c>
      <c r="D47" s="151">
        <f t="shared" si="6"/>
        <v>132859</v>
      </c>
      <c r="E47" s="152"/>
      <c r="F47" s="21">
        <f t="shared" ref="F47:F79" si="11">SUM(F46-1)</f>
        <v>2021</v>
      </c>
      <c r="G47" s="51">
        <f t="shared" si="7"/>
        <v>504447</v>
      </c>
      <c r="H47" s="1"/>
      <c r="I47" s="70">
        <f>M46</f>
        <v>887</v>
      </c>
      <c r="J47" s="38" t="s">
        <v>78</v>
      </c>
      <c r="K47" s="69" t="s">
        <v>72</v>
      </c>
      <c r="L47" s="81">
        <v>0.75</v>
      </c>
      <c r="M47" s="71" t="s">
        <v>79</v>
      </c>
      <c r="N47" s="38"/>
      <c r="O47" s="75" t="s">
        <v>73</v>
      </c>
      <c r="P47" s="67">
        <f>SUM(I47*L47)</f>
        <v>665.25</v>
      </c>
      <c r="Q47" s="80" t="s">
        <v>77</v>
      </c>
      <c r="R47" s="3"/>
      <c r="S47" s="7"/>
      <c r="T47" s="1"/>
      <c r="U47" s="137"/>
      <c r="V47" s="138"/>
      <c r="W47" s="139"/>
    </row>
    <row r="48" spans="1:23" x14ac:dyDescent="0.2">
      <c r="A48" s="49"/>
      <c r="B48" s="21">
        <f t="shared" si="10"/>
        <v>2020</v>
      </c>
      <c r="C48" s="47">
        <f t="shared" si="6"/>
        <v>102328</v>
      </c>
      <c r="D48" s="151">
        <f>ROUND((D49)+D49*0.015,0)</f>
        <v>130896</v>
      </c>
      <c r="E48" s="152"/>
      <c r="F48" s="21">
        <f t="shared" si="11"/>
        <v>2020</v>
      </c>
      <c r="G48" s="51">
        <f t="shared" si="7"/>
        <v>495771</v>
      </c>
      <c r="H48" s="1"/>
      <c r="I48" s="74" t="s">
        <v>75</v>
      </c>
      <c r="J48" s="72">
        <f>M46</f>
        <v>887</v>
      </c>
      <c r="K48" s="69" t="s">
        <v>72</v>
      </c>
      <c r="L48" s="38">
        <f>L40</f>
        <v>0.66666000000000003</v>
      </c>
      <c r="M48" s="38" t="s">
        <v>76</v>
      </c>
      <c r="N48" s="38"/>
      <c r="O48" s="75" t="s">
        <v>73</v>
      </c>
      <c r="P48" s="73">
        <f>SUM(J48*L48)</f>
        <v>591.33000000000004</v>
      </c>
      <c r="Q48" s="2"/>
      <c r="R48" s="3"/>
      <c r="S48" s="7"/>
      <c r="T48" s="1"/>
      <c r="U48" s="137"/>
      <c r="V48" s="138"/>
      <c r="W48" s="139"/>
    </row>
    <row r="49" spans="1:23" x14ac:dyDescent="0.2">
      <c r="A49" s="50"/>
      <c r="B49" s="21">
        <f t="shared" si="10"/>
        <v>2019</v>
      </c>
      <c r="C49" s="47">
        <f t="shared" si="6"/>
        <v>100816</v>
      </c>
      <c r="D49" s="151">
        <f t="shared" si="6"/>
        <v>128962</v>
      </c>
      <c r="E49" s="152"/>
      <c r="F49" s="21">
        <f t="shared" si="11"/>
        <v>2019</v>
      </c>
      <c r="G49" s="51">
        <f t="shared" si="7"/>
        <v>487244</v>
      </c>
      <c r="H49" s="1"/>
      <c r="I49" s="76">
        <f>P48</f>
        <v>591.33000000000004</v>
      </c>
      <c r="J49" s="78" t="s">
        <v>72</v>
      </c>
      <c r="K49" s="79">
        <v>0.75</v>
      </c>
      <c r="L49" s="78" t="s">
        <v>80</v>
      </c>
      <c r="M49" s="77">
        <f>SUM(I49*K49)</f>
        <v>443.5</v>
      </c>
      <c r="N49" s="42" t="s">
        <v>77</v>
      </c>
      <c r="O49" s="55"/>
      <c r="P49" s="8"/>
      <c r="Q49" s="13"/>
      <c r="R49" s="12"/>
      <c r="S49" s="9"/>
      <c r="T49" s="1"/>
      <c r="U49" s="137"/>
      <c r="V49" s="138"/>
      <c r="W49" s="139"/>
    </row>
    <row r="50" spans="1:23" x14ac:dyDescent="0.2">
      <c r="A50" s="50"/>
      <c r="B50" s="21">
        <f t="shared" si="10"/>
        <v>2018</v>
      </c>
      <c r="C50" s="47">
        <f t="shared" si="6"/>
        <v>99326</v>
      </c>
      <c r="D50" s="151">
        <f t="shared" si="6"/>
        <v>127056</v>
      </c>
      <c r="E50" s="152"/>
      <c r="F50" s="21">
        <f t="shared" si="11"/>
        <v>2018</v>
      </c>
      <c r="G50" s="51">
        <f t="shared" si="7"/>
        <v>478864</v>
      </c>
      <c r="H50" s="1"/>
      <c r="T50" s="1"/>
      <c r="U50" s="137"/>
      <c r="V50" s="138"/>
      <c r="W50" s="139"/>
    </row>
    <row r="51" spans="1:23" x14ac:dyDescent="0.2">
      <c r="A51" s="50"/>
      <c r="B51" s="21">
        <f t="shared" si="10"/>
        <v>2017</v>
      </c>
      <c r="C51" s="47">
        <f>SUM(C52+(C52*0.015))</f>
        <v>97858</v>
      </c>
      <c r="D51" s="151">
        <f>ROUND((D52)+D52*0.015,0)</f>
        <v>125178</v>
      </c>
      <c r="E51" s="152"/>
      <c r="F51" s="21">
        <f t="shared" si="11"/>
        <v>2017</v>
      </c>
      <c r="G51" s="51">
        <f>SUM(G52+(G52*0.0175))</f>
        <v>470628</v>
      </c>
      <c r="H51" s="1"/>
      <c r="I51" s="10" t="s">
        <v>51</v>
      </c>
      <c r="J51" s="16"/>
      <c r="K51" s="5"/>
      <c r="L51" s="5"/>
      <c r="M51" s="5"/>
      <c r="N51" s="5"/>
      <c r="O51" s="14"/>
      <c r="P51" s="5"/>
      <c r="Q51" s="15"/>
      <c r="R51" s="14"/>
      <c r="S51" s="6"/>
      <c r="T51" s="1"/>
      <c r="U51" s="137"/>
      <c r="V51" s="138"/>
      <c r="W51" s="139"/>
    </row>
    <row r="52" spans="1:23" x14ac:dyDescent="0.2">
      <c r="A52" s="50"/>
      <c r="B52" s="21">
        <f t="shared" si="10"/>
        <v>2016</v>
      </c>
      <c r="C52" s="47">
        <v>96412</v>
      </c>
      <c r="D52" s="151">
        <v>123328</v>
      </c>
      <c r="E52" s="152"/>
      <c r="F52" s="21">
        <f t="shared" si="11"/>
        <v>2016</v>
      </c>
      <c r="G52" s="51">
        <v>462534</v>
      </c>
      <c r="H52" s="1"/>
      <c r="I52" s="11" t="s">
        <v>52</v>
      </c>
      <c r="S52" s="46"/>
      <c r="T52" s="1"/>
      <c r="U52" s="137"/>
      <c r="V52" s="138"/>
      <c r="W52" s="139"/>
    </row>
    <row r="53" spans="1:23" x14ac:dyDescent="0.2">
      <c r="A53" s="50"/>
      <c r="B53" s="21">
        <f t="shared" si="10"/>
        <v>2015</v>
      </c>
      <c r="C53" s="48">
        <v>94987</v>
      </c>
      <c r="D53" s="153">
        <v>121505</v>
      </c>
      <c r="E53" s="154"/>
      <c r="F53" s="21">
        <f t="shared" si="11"/>
        <v>2015</v>
      </c>
      <c r="G53" s="52">
        <v>454579</v>
      </c>
      <c r="H53" s="1"/>
      <c r="I53" s="32"/>
      <c r="J53" s="38"/>
      <c r="K53" s="38"/>
      <c r="L53" s="38"/>
      <c r="M53" s="38"/>
      <c r="N53" s="38"/>
      <c r="O53" s="54"/>
      <c r="P53" s="1"/>
      <c r="Q53" s="2"/>
      <c r="R53" s="3"/>
      <c r="S53" s="7"/>
      <c r="T53" s="1"/>
      <c r="U53" s="137"/>
      <c r="V53" s="138"/>
      <c r="W53" s="139"/>
    </row>
    <row r="54" spans="1:23" x14ac:dyDescent="0.2">
      <c r="A54" s="50"/>
      <c r="B54" s="21">
        <f t="shared" si="10"/>
        <v>2014</v>
      </c>
      <c r="C54" s="56">
        <v>93583</v>
      </c>
      <c r="D54" s="155">
        <v>119709</v>
      </c>
      <c r="E54" s="156"/>
      <c r="F54" s="21">
        <f t="shared" si="11"/>
        <v>2014</v>
      </c>
      <c r="G54" s="52">
        <v>446761</v>
      </c>
      <c r="H54" s="1"/>
      <c r="I54" s="32" t="s">
        <v>97</v>
      </c>
      <c r="J54" s="38"/>
      <c r="K54" s="38"/>
      <c r="L54" s="66">
        <v>140000</v>
      </c>
      <c r="M54" s="69" t="s">
        <v>72</v>
      </c>
      <c r="N54" s="54">
        <f>F24</f>
        <v>7.9799999999999992E-3</v>
      </c>
      <c r="O54" s="69" t="s">
        <v>73</v>
      </c>
      <c r="P54" s="67">
        <f>SUM(L54*N54)</f>
        <v>1117.2</v>
      </c>
      <c r="Q54" s="1"/>
      <c r="R54" s="1"/>
      <c r="S54" s="7"/>
      <c r="T54" s="1"/>
      <c r="U54" s="137"/>
      <c r="V54" s="138"/>
      <c r="W54" s="139"/>
    </row>
    <row r="55" spans="1:23" x14ac:dyDescent="0.2">
      <c r="A55" s="49"/>
      <c r="B55" s="21">
        <f t="shared" si="10"/>
        <v>2013</v>
      </c>
      <c r="C55" s="47">
        <v>92200</v>
      </c>
      <c r="D55" s="151">
        <v>117940</v>
      </c>
      <c r="E55" s="152"/>
      <c r="F55" s="21">
        <f t="shared" si="11"/>
        <v>2013</v>
      </c>
      <c r="G55" s="51">
        <v>439077</v>
      </c>
      <c r="H55" s="1"/>
      <c r="I55" s="70">
        <f>P54</f>
        <v>1117.2</v>
      </c>
      <c r="J55" s="38" t="s">
        <v>74</v>
      </c>
      <c r="K55" s="38"/>
      <c r="L55" s="38"/>
      <c r="M55" s="71">
        <v>1117</v>
      </c>
      <c r="N55" s="38"/>
      <c r="O55" s="54"/>
      <c r="P55" s="1"/>
      <c r="Q55" s="2"/>
      <c r="R55" s="3"/>
      <c r="S55" s="7"/>
      <c r="T55" s="1"/>
      <c r="U55" s="137"/>
      <c r="V55" s="138"/>
      <c r="W55" s="139"/>
    </row>
    <row r="56" spans="1:23" ht="13.5" thickBot="1" x14ac:dyDescent="0.25">
      <c r="A56" s="49"/>
      <c r="B56" s="21">
        <f t="shared" si="10"/>
        <v>2012</v>
      </c>
      <c r="C56" s="56">
        <v>90837</v>
      </c>
      <c r="D56" s="155">
        <v>116197</v>
      </c>
      <c r="E56" s="156"/>
      <c r="F56" s="21">
        <f t="shared" si="11"/>
        <v>2012</v>
      </c>
      <c r="G56" s="52">
        <v>431525</v>
      </c>
      <c r="H56" s="1"/>
      <c r="I56" s="70">
        <f>M55</f>
        <v>1117</v>
      </c>
      <c r="J56" s="38" t="s">
        <v>78</v>
      </c>
      <c r="K56" s="69" t="s">
        <v>72</v>
      </c>
      <c r="L56" s="81">
        <v>0.75</v>
      </c>
      <c r="M56" s="71" t="s">
        <v>79</v>
      </c>
      <c r="N56" s="38"/>
      <c r="O56" s="75" t="s">
        <v>73</v>
      </c>
      <c r="P56" s="67">
        <f>SUM(I56*L56)</f>
        <v>837.75</v>
      </c>
      <c r="Q56" s="80" t="s">
        <v>77</v>
      </c>
      <c r="R56" s="3"/>
      <c r="S56" s="7"/>
      <c r="T56" s="1"/>
      <c r="U56" s="111"/>
      <c r="V56" s="112"/>
      <c r="W56" s="140"/>
    </row>
    <row r="57" spans="1:23" x14ac:dyDescent="0.2">
      <c r="A57" s="49"/>
      <c r="B57" s="21">
        <f t="shared" si="10"/>
        <v>2011</v>
      </c>
      <c r="C57" s="56">
        <v>89495</v>
      </c>
      <c r="D57" s="153">
        <v>114480</v>
      </c>
      <c r="E57" s="154"/>
      <c r="F57" s="21">
        <f t="shared" si="11"/>
        <v>2011</v>
      </c>
      <c r="G57" s="52">
        <v>424103</v>
      </c>
      <c r="H57" s="1"/>
      <c r="I57" s="74" t="s">
        <v>75</v>
      </c>
      <c r="J57" s="72">
        <f>M55</f>
        <v>1117</v>
      </c>
      <c r="K57" s="69" t="s">
        <v>72</v>
      </c>
      <c r="L57" s="38">
        <f>L40</f>
        <v>0.66666000000000003</v>
      </c>
      <c r="M57" s="38" t="s">
        <v>76</v>
      </c>
      <c r="N57" s="38"/>
      <c r="O57" s="75" t="s">
        <v>73</v>
      </c>
      <c r="P57" s="73">
        <f>SUM(J57*L57)</f>
        <v>744.66</v>
      </c>
      <c r="Q57" s="2"/>
      <c r="R57" s="3"/>
      <c r="S57" s="7"/>
      <c r="T57" s="1"/>
      <c r="U57" s="40"/>
      <c r="V57" s="41"/>
      <c r="W57" s="41"/>
    </row>
    <row r="58" spans="1:23" x14ac:dyDescent="0.2">
      <c r="A58" s="49"/>
      <c r="B58" s="21">
        <f t="shared" si="10"/>
        <v>2010</v>
      </c>
      <c r="C58" s="56">
        <v>88172</v>
      </c>
      <c r="D58" s="153">
        <v>112788</v>
      </c>
      <c r="E58" s="154"/>
      <c r="F58" s="21">
        <f t="shared" si="11"/>
        <v>2010</v>
      </c>
      <c r="G58" s="52">
        <v>416809</v>
      </c>
      <c r="H58" s="1"/>
      <c r="I58" s="76">
        <f>P57</f>
        <v>744.66</v>
      </c>
      <c r="J58" s="78" t="s">
        <v>72</v>
      </c>
      <c r="K58" s="79">
        <v>0.75</v>
      </c>
      <c r="L58" s="78" t="s">
        <v>80</v>
      </c>
      <c r="M58" s="77">
        <f>SUM(I58*K58)</f>
        <v>558.5</v>
      </c>
      <c r="N58" s="42" t="s">
        <v>77</v>
      </c>
      <c r="O58" s="55"/>
      <c r="P58" s="8"/>
      <c r="Q58" s="13"/>
      <c r="R58" s="12"/>
      <c r="S58" s="9"/>
      <c r="T58" s="1"/>
      <c r="U58" s="40"/>
      <c r="V58" s="41"/>
      <c r="W58" s="41"/>
    </row>
    <row r="59" spans="1:23" x14ac:dyDescent="0.2">
      <c r="A59" s="49"/>
      <c r="B59" s="21">
        <f t="shared" si="10"/>
        <v>2009</v>
      </c>
      <c r="C59" s="47">
        <v>86869</v>
      </c>
      <c r="D59" s="219">
        <v>111121</v>
      </c>
      <c r="E59" s="220"/>
      <c r="F59" s="21">
        <f t="shared" si="11"/>
        <v>2009</v>
      </c>
      <c r="G59" s="51">
        <v>409640</v>
      </c>
      <c r="H59" s="1"/>
      <c r="T59" s="1"/>
      <c r="U59" s="40"/>
      <c r="V59" s="41"/>
      <c r="W59" s="41"/>
    </row>
    <row r="60" spans="1:23" x14ac:dyDescent="0.2">
      <c r="A60" s="49"/>
      <c r="B60" s="21">
        <f t="shared" si="10"/>
        <v>2008</v>
      </c>
      <c r="C60" s="47">
        <v>85585</v>
      </c>
      <c r="D60" s="219">
        <v>109479</v>
      </c>
      <c r="E60" s="220"/>
      <c r="F60" s="21">
        <f t="shared" si="11"/>
        <v>2008</v>
      </c>
      <c r="G60" s="51">
        <v>402595</v>
      </c>
      <c r="H60" s="1"/>
      <c r="I60" s="10" t="s">
        <v>53</v>
      </c>
      <c r="J60" s="16"/>
      <c r="K60" s="5"/>
      <c r="L60" s="5"/>
      <c r="M60" s="5"/>
      <c r="N60" s="5"/>
      <c r="O60" s="5"/>
      <c r="P60" s="5"/>
      <c r="Q60" s="5"/>
      <c r="R60" s="5"/>
      <c r="S60" s="6"/>
      <c r="T60" s="1"/>
      <c r="U60" s="40"/>
      <c r="V60" s="41"/>
      <c r="W60" s="41"/>
    </row>
    <row r="61" spans="1:23" x14ac:dyDescent="0.2">
      <c r="A61" s="49"/>
      <c r="B61" s="21">
        <f t="shared" si="10"/>
        <v>2007</v>
      </c>
      <c r="C61" s="47">
        <v>84320</v>
      </c>
      <c r="D61" s="219">
        <v>107861</v>
      </c>
      <c r="E61" s="220"/>
      <c r="F61" s="21">
        <f t="shared" si="11"/>
        <v>2007</v>
      </c>
      <c r="G61" s="51">
        <v>395481</v>
      </c>
      <c r="H61" s="1"/>
      <c r="I61" s="11" t="s">
        <v>56</v>
      </c>
      <c r="S61" s="46"/>
      <c r="T61" s="1"/>
      <c r="U61" s="40"/>
      <c r="V61" s="41"/>
      <c r="W61" s="41"/>
    </row>
    <row r="62" spans="1:23" x14ac:dyDescent="0.2">
      <c r="A62" s="49"/>
      <c r="B62" s="21">
        <f t="shared" si="10"/>
        <v>2006</v>
      </c>
      <c r="C62" s="47">
        <v>83074</v>
      </c>
      <c r="D62" s="219">
        <v>106267</v>
      </c>
      <c r="E62" s="220"/>
      <c r="F62" s="21">
        <f t="shared" si="11"/>
        <v>2006</v>
      </c>
      <c r="G62" s="51">
        <v>389636</v>
      </c>
      <c r="H62" s="1"/>
      <c r="I62" s="4"/>
      <c r="J62" s="38"/>
      <c r="K62" s="1"/>
      <c r="L62" s="1"/>
      <c r="M62" s="1"/>
      <c r="N62" s="1"/>
      <c r="O62" s="1"/>
      <c r="P62" s="1"/>
      <c r="Q62" s="1"/>
      <c r="R62" s="1"/>
      <c r="S62" s="7"/>
      <c r="T62" s="1"/>
      <c r="U62" s="40"/>
      <c r="V62" s="41"/>
      <c r="W62" s="41"/>
    </row>
    <row r="63" spans="1:23" x14ac:dyDescent="0.2">
      <c r="A63" s="49"/>
      <c r="B63" s="21">
        <f t="shared" si="10"/>
        <v>2005</v>
      </c>
      <c r="C63" s="57">
        <v>81846</v>
      </c>
      <c r="D63" s="118">
        <v>104697</v>
      </c>
      <c r="E63" s="119"/>
      <c r="F63" s="21">
        <f t="shared" si="11"/>
        <v>2005</v>
      </c>
      <c r="G63" s="51">
        <v>382769</v>
      </c>
      <c r="H63" s="1"/>
      <c r="I63" s="32" t="s">
        <v>97</v>
      </c>
      <c r="J63" s="38"/>
      <c r="K63" s="38"/>
      <c r="L63" s="66">
        <v>130896</v>
      </c>
      <c r="M63" s="69" t="s">
        <v>72</v>
      </c>
      <c r="N63" s="54">
        <f>M24</f>
        <v>1.6999999999999999E-3</v>
      </c>
      <c r="O63" s="69" t="s">
        <v>73</v>
      </c>
      <c r="P63" s="67">
        <f>SUM(L63*N63)</f>
        <v>222.52</v>
      </c>
      <c r="Q63" s="1"/>
      <c r="R63" s="1"/>
      <c r="S63" s="7"/>
      <c r="T63" s="1"/>
      <c r="U63" s="40"/>
      <c r="V63" s="41"/>
      <c r="W63" s="41"/>
    </row>
    <row r="64" spans="1:23" x14ac:dyDescent="0.2">
      <c r="A64" s="49"/>
      <c r="B64" s="21">
        <f t="shared" si="10"/>
        <v>2004</v>
      </c>
      <c r="C64" s="57">
        <v>80636</v>
      </c>
      <c r="D64" s="118">
        <v>103150</v>
      </c>
      <c r="E64" s="119"/>
      <c r="F64" s="21">
        <f t="shared" si="11"/>
        <v>2004</v>
      </c>
      <c r="G64" s="51">
        <v>375308</v>
      </c>
      <c r="H64" s="1"/>
      <c r="I64" s="70">
        <f>P63</f>
        <v>222.52</v>
      </c>
      <c r="J64" s="38" t="s">
        <v>74</v>
      </c>
      <c r="K64" s="38"/>
      <c r="L64" s="38"/>
      <c r="M64" s="71">
        <v>223</v>
      </c>
      <c r="N64" s="38"/>
      <c r="O64" s="54"/>
      <c r="P64" s="1"/>
      <c r="Q64" s="2"/>
      <c r="R64" s="3"/>
      <c r="S64" s="7"/>
      <c r="T64" s="1"/>
      <c r="U64" s="40"/>
      <c r="V64" s="41"/>
      <c r="W64" s="41"/>
    </row>
    <row r="65" spans="1:23" x14ac:dyDescent="0.2">
      <c r="A65" s="49"/>
      <c r="B65" s="21">
        <f t="shared" si="10"/>
        <v>2003</v>
      </c>
      <c r="C65" s="57">
        <v>79444</v>
      </c>
      <c r="D65" s="118">
        <v>101626</v>
      </c>
      <c r="E65" s="119"/>
      <c r="F65" s="21">
        <f t="shared" si="11"/>
        <v>2003</v>
      </c>
      <c r="G65" s="51">
        <v>368154</v>
      </c>
      <c r="H65" s="1"/>
      <c r="I65" s="82">
        <f>M64</f>
        <v>223</v>
      </c>
      <c r="J65" s="38" t="s">
        <v>81</v>
      </c>
      <c r="K65" s="69" t="s">
        <v>72</v>
      </c>
      <c r="L65" s="1">
        <f>J40</f>
        <v>0.83333000000000002</v>
      </c>
      <c r="M65" s="38" t="s">
        <v>82</v>
      </c>
      <c r="N65" s="1"/>
      <c r="O65" s="69" t="s">
        <v>73</v>
      </c>
      <c r="P65" s="73">
        <f>SUM(I65*L65)</f>
        <v>185.83</v>
      </c>
      <c r="Q65" s="1"/>
      <c r="R65" s="1"/>
      <c r="S65" s="7"/>
      <c r="T65" s="1"/>
      <c r="U65" s="40"/>
      <c r="V65" s="41"/>
      <c r="W65" s="41"/>
    </row>
    <row r="66" spans="1:23" x14ac:dyDescent="0.2">
      <c r="A66" s="49"/>
      <c r="B66" s="21">
        <f t="shared" si="10"/>
        <v>2002</v>
      </c>
      <c r="C66" s="57">
        <v>78270</v>
      </c>
      <c r="D66" s="118">
        <v>100124</v>
      </c>
      <c r="E66" s="119"/>
      <c r="F66" s="21">
        <f t="shared" si="11"/>
        <v>2002</v>
      </c>
      <c r="G66" s="51">
        <v>360500</v>
      </c>
      <c r="H66" s="1"/>
      <c r="I66" s="106" t="s">
        <v>66</v>
      </c>
      <c r="J66" s="8"/>
      <c r="K66" s="8"/>
      <c r="L66" s="8"/>
      <c r="M66" s="8"/>
      <c r="N66" s="8"/>
      <c r="O66" s="8"/>
      <c r="P66" s="8"/>
      <c r="Q66" s="8"/>
      <c r="R66" s="8"/>
      <c r="S66" s="9"/>
      <c r="T66" s="1"/>
      <c r="U66" s="40"/>
      <c r="V66" s="41"/>
      <c r="W66" s="41"/>
    </row>
    <row r="67" spans="1:23" x14ac:dyDescent="0.2">
      <c r="A67" s="49"/>
      <c r="B67" s="21">
        <f t="shared" si="10"/>
        <v>2001</v>
      </c>
      <c r="C67" s="57">
        <v>77113</v>
      </c>
      <c r="D67" s="118">
        <v>98644</v>
      </c>
      <c r="E67" s="119"/>
      <c r="F67" s="21">
        <f t="shared" si="11"/>
        <v>2001</v>
      </c>
      <c r="G67" s="51">
        <v>353571</v>
      </c>
      <c r="H67" s="1"/>
      <c r="T67" s="1"/>
      <c r="U67" s="40"/>
      <c r="V67" s="41"/>
      <c r="W67" s="41"/>
    </row>
    <row r="68" spans="1:23" x14ac:dyDescent="0.2">
      <c r="A68" s="49"/>
      <c r="B68" s="21">
        <f t="shared" si="10"/>
        <v>2000</v>
      </c>
      <c r="C68" s="57">
        <v>75973</v>
      </c>
      <c r="D68" s="118">
        <v>97186</v>
      </c>
      <c r="E68" s="119"/>
      <c r="F68" s="21">
        <f t="shared" si="11"/>
        <v>2000</v>
      </c>
      <c r="G68" s="51">
        <v>350167</v>
      </c>
      <c r="H68" s="1"/>
      <c r="I68" s="10" t="s">
        <v>53</v>
      </c>
      <c r="J68" s="16"/>
      <c r="K68" s="5"/>
      <c r="L68" s="5"/>
      <c r="M68" s="5"/>
      <c r="N68" s="5"/>
      <c r="O68" s="5"/>
      <c r="P68" s="5"/>
      <c r="Q68" s="5"/>
      <c r="R68" s="5"/>
      <c r="S68" s="6"/>
      <c r="T68" s="1"/>
      <c r="U68" s="1"/>
      <c r="V68" s="1"/>
      <c r="W68" s="1"/>
    </row>
    <row r="69" spans="1:23" x14ac:dyDescent="0.2">
      <c r="A69" s="49"/>
      <c r="B69" s="21">
        <f t="shared" si="10"/>
        <v>1999</v>
      </c>
      <c r="C69" s="57">
        <v>74850</v>
      </c>
      <c r="D69" s="118">
        <v>95750</v>
      </c>
      <c r="E69" s="119"/>
      <c r="F69" s="21">
        <f t="shared" si="11"/>
        <v>1999</v>
      </c>
      <c r="G69" s="51">
        <v>330786</v>
      </c>
      <c r="H69" s="1"/>
      <c r="I69" s="11" t="s">
        <v>52</v>
      </c>
      <c r="S69" s="46"/>
      <c r="T69" s="1"/>
      <c r="U69" s="1"/>
      <c r="V69" s="1"/>
      <c r="W69" s="1"/>
    </row>
    <row r="70" spans="1:23" x14ac:dyDescent="0.2">
      <c r="A70" s="49"/>
      <c r="B70" s="21">
        <f t="shared" si="10"/>
        <v>1998</v>
      </c>
      <c r="C70" s="57">
        <v>73700</v>
      </c>
      <c r="D70" s="118">
        <v>94300</v>
      </c>
      <c r="E70" s="119"/>
      <c r="F70" s="21">
        <f t="shared" si="11"/>
        <v>1998</v>
      </c>
      <c r="G70" s="51">
        <v>319967</v>
      </c>
      <c r="H70" s="1"/>
      <c r="I70" s="4"/>
      <c r="J70" s="1"/>
      <c r="K70" s="1"/>
      <c r="L70" s="1"/>
      <c r="M70" s="1"/>
      <c r="N70" s="1"/>
      <c r="O70" s="1"/>
      <c r="P70" s="1"/>
      <c r="Q70" s="1"/>
      <c r="R70" s="1"/>
      <c r="S70" s="7"/>
      <c r="T70" s="1"/>
      <c r="U70" s="1"/>
      <c r="V70" s="1"/>
      <c r="W70" s="1"/>
    </row>
    <row r="71" spans="1:23" x14ac:dyDescent="0.2">
      <c r="A71" s="49"/>
      <c r="B71" s="21">
        <f t="shared" si="10"/>
        <v>1997</v>
      </c>
      <c r="C71" s="57">
        <v>72600</v>
      </c>
      <c r="D71" s="118">
        <v>92900</v>
      </c>
      <c r="E71" s="119"/>
      <c r="F71" s="21">
        <f t="shared" si="11"/>
        <v>1997</v>
      </c>
      <c r="G71" s="51">
        <v>311250</v>
      </c>
      <c r="H71" s="1"/>
      <c r="I71" s="32" t="s">
        <v>98</v>
      </c>
      <c r="J71" s="38"/>
      <c r="K71" s="38"/>
      <c r="L71" s="66">
        <v>140000</v>
      </c>
      <c r="M71" s="69" t="s">
        <v>72</v>
      </c>
      <c r="N71" s="54">
        <f>P24</f>
        <v>2E-3</v>
      </c>
      <c r="O71" s="69" t="s">
        <v>73</v>
      </c>
      <c r="P71" s="67">
        <f>SUM(L71*N71)</f>
        <v>280</v>
      </c>
      <c r="Q71" s="1"/>
      <c r="R71" s="1"/>
      <c r="S71" s="7"/>
      <c r="T71" s="1"/>
      <c r="U71" s="1"/>
      <c r="V71" s="1"/>
      <c r="W71" s="1"/>
    </row>
    <row r="72" spans="1:23" x14ac:dyDescent="0.2">
      <c r="A72" s="49"/>
      <c r="B72" s="21">
        <f t="shared" si="10"/>
        <v>1996</v>
      </c>
      <c r="C72" s="57">
        <v>71500</v>
      </c>
      <c r="D72" s="118">
        <v>91500</v>
      </c>
      <c r="E72" s="119"/>
      <c r="F72" s="21">
        <f t="shared" si="11"/>
        <v>1996</v>
      </c>
      <c r="G72" s="51">
        <v>298058</v>
      </c>
      <c r="H72" s="1"/>
      <c r="I72" s="82">
        <f>P71</f>
        <v>280</v>
      </c>
      <c r="J72" s="38" t="s">
        <v>81</v>
      </c>
      <c r="K72" s="69" t="s">
        <v>72</v>
      </c>
      <c r="L72" s="1">
        <f>J40</f>
        <v>0.83333000000000002</v>
      </c>
      <c r="M72" s="38" t="s">
        <v>82</v>
      </c>
      <c r="N72" s="1"/>
      <c r="O72" s="69" t="s">
        <v>73</v>
      </c>
      <c r="P72" s="73">
        <f>SUM(I72*L72)</f>
        <v>233.33</v>
      </c>
      <c r="Q72" s="1"/>
      <c r="R72" s="1"/>
      <c r="S72" s="7"/>
      <c r="T72" s="1"/>
      <c r="U72" s="1"/>
      <c r="V72" s="1"/>
      <c r="W72" s="1"/>
    </row>
    <row r="73" spans="1:23" x14ac:dyDescent="0.2">
      <c r="A73" s="49"/>
      <c r="B73" s="21">
        <f t="shared" si="10"/>
        <v>1995</v>
      </c>
      <c r="C73" s="57">
        <v>70500</v>
      </c>
      <c r="D73" s="118">
        <v>90000</v>
      </c>
      <c r="E73" s="119"/>
      <c r="F73" s="21">
        <f t="shared" si="11"/>
        <v>1995</v>
      </c>
      <c r="G73" s="51">
        <v>287992</v>
      </c>
      <c r="H73" s="1"/>
      <c r="I73" s="106" t="s">
        <v>66</v>
      </c>
      <c r="J73" s="8"/>
      <c r="K73" s="8"/>
      <c r="L73" s="8"/>
      <c r="M73" s="8"/>
      <c r="N73" s="8"/>
      <c r="O73" s="8"/>
      <c r="P73" s="8"/>
      <c r="Q73" s="8"/>
      <c r="R73" s="8"/>
      <c r="S73" s="9"/>
      <c r="T73" s="1"/>
      <c r="U73" s="1"/>
      <c r="V73" s="1"/>
      <c r="W73" s="1"/>
    </row>
    <row r="74" spans="1:23" x14ac:dyDescent="0.2">
      <c r="A74" s="49"/>
      <c r="B74" s="21">
        <f t="shared" si="10"/>
        <v>1994</v>
      </c>
      <c r="C74" s="57">
        <v>69500</v>
      </c>
      <c r="D74" s="118">
        <v>88500</v>
      </c>
      <c r="E74" s="119"/>
      <c r="F74" s="21">
        <f t="shared" si="11"/>
        <v>1994</v>
      </c>
      <c r="G74" s="51">
        <v>277833</v>
      </c>
      <c r="H74" s="1"/>
      <c r="T74" s="1"/>
      <c r="U74" s="1"/>
      <c r="V74" s="1"/>
      <c r="W74" s="1"/>
    </row>
    <row r="75" spans="1:23" x14ac:dyDescent="0.2">
      <c r="A75" s="49"/>
      <c r="B75" s="21">
        <f t="shared" si="10"/>
        <v>1993</v>
      </c>
      <c r="C75" s="57">
        <v>68300</v>
      </c>
      <c r="D75" s="118">
        <v>87200</v>
      </c>
      <c r="E75" s="119"/>
      <c r="F75" s="21">
        <f t="shared" si="11"/>
        <v>1993</v>
      </c>
      <c r="G75" s="51">
        <v>261767</v>
      </c>
      <c r="H75" s="1"/>
      <c r="T75" s="1"/>
      <c r="U75" s="1"/>
      <c r="V75" s="1"/>
      <c r="W75" s="1"/>
    </row>
    <row r="76" spans="1:23" x14ac:dyDescent="0.2">
      <c r="A76" s="49"/>
      <c r="B76" s="21">
        <f t="shared" si="10"/>
        <v>1992</v>
      </c>
      <c r="C76" s="57">
        <v>67300</v>
      </c>
      <c r="D76" s="118">
        <v>85900</v>
      </c>
      <c r="E76" s="119"/>
      <c r="F76" s="21">
        <f t="shared" si="11"/>
        <v>1992</v>
      </c>
      <c r="G76" s="51">
        <v>249238</v>
      </c>
      <c r="H76" s="1"/>
      <c r="I76" s="1"/>
      <c r="J76" s="1"/>
      <c r="K76" s="1"/>
    </row>
    <row r="77" spans="1:23" x14ac:dyDescent="0.2">
      <c r="A77" s="49"/>
      <c r="B77" s="21">
        <f t="shared" si="10"/>
        <v>1991</v>
      </c>
      <c r="C77" s="57">
        <v>66300</v>
      </c>
      <c r="D77" s="118">
        <v>84500</v>
      </c>
      <c r="E77" s="119"/>
      <c r="F77" s="21">
        <f t="shared" si="11"/>
        <v>1991</v>
      </c>
      <c r="G77" s="51">
        <v>239367</v>
      </c>
    </row>
    <row r="78" spans="1:23" x14ac:dyDescent="0.2">
      <c r="A78" s="49"/>
      <c r="B78" s="21">
        <f t="shared" si="10"/>
        <v>1990</v>
      </c>
      <c r="C78" s="57">
        <v>65250</v>
      </c>
      <c r="D78" s="118">
        <v>83250</v>
      </c>
      <c r="E78" s="119"/>
      <c r="F78" s="21">
        <f t="shared" si="11"/>
        <v>1990</v>
      </c>
      <c r="G78" s="51">
        <v>226743</v>
      </c>
    </row>
    <row r="79" spans="1:23" x14ac:dyDescent="0.2">
      <c r="A79" s="49"/>
      <c r="B79" s="21">
        <f t="shared" si="10"/>
        <v>1989</v>
      </c>
      <c r="C79" s="57">
        <v>64250</v>
      </c>
      <c r="D79" s="118">
        <v>82000</v>
      </c>
      <c r="E79" s="119"/>
      <c r="F79" s="21">
        <f t="shared" si="11"/>
        <v>1989</v>
      </c>
      <c r="G79" s="51">
        <v>209243</v>
      </c>
    </row>
    <row r="80" spans="1:23" x14ac:dyDescent="0.2">
      <c r="B80" s="217" t="s">
        <v>85</v>
      </c>
      <c r="C80" s="221"/>
      <c r="D80" s="221"/>
      <c r="E80" s="218"/>
      <c r="F80" s="217" t="s">
        <v>85</v>
      </c>
      <c r="G80" s="218"/>
    </row>
  </sheetData>
  <mergeCells count="77">
    <mergeCell ref="F80:G80"/>
    <mergeCell ref="D60:E60"/>
    <mergeCell ref="D61:E61"/>
    <mergeCell ref="D55:E55"/>
    <mergeCell ref="D56:E56"/>
    <mergeCell ref="D57:E57"/>
    <mergeCell ref="D58:E58"/>
    <mergeCell ref="D59:E59"/>
    <mergeCell ref="B80:E80"/>
    <mergeCell ref="D75:E75"/>
    <mergeCell ref="D76:E76"/>
    <mergeCell ref="D77:E77"/>
    <mergeCell ref="D78:E78"/>
    <mergeCell ref="D79:E79"/>
    <mergeCell ref="D62:E62"/>
    <mergeCell ref="D63:E63"/>
    <mergeCell ref="A1:W1"/>
    <mergeCell ref="A3:D4"/>
    <mergeCell ref="E3:W4"/>
    <mergeCell ref="A5:D6"/>
    <mergeCell ref="B41:E41"/>
    <mergeCell ref="E6:W6"/>
    <mergeCell ref="E5:W5"/>
    <mergeCell ref="U12:W12"/>
    <mergeCell ref="A8:I8"/>
    <mergeCell ref="K8:S8"/>
    <mergeCell ref="U8:W11"/>
    <mergeCell ref="A9:C9"/>
    <mergeCell ref="D9:F9"/>
    <mergeCell ref="G9:I9"/>
    <mergeCell ref="K9:M9"/>
    <mergeCell ref="N9:P9"/>
    <mergeCell ref="D47:E47"/>
    <mergeCell ref="D43:E43"/>
    <mergeCell ref="D44:E44"/>
    <mergeCell ref="Q9:S9"/>
    <mergeCell ref="A10:C18"/>
    <mergeCell ref="G19:H19"/>
    <mergeCell ref="K19:L19"/>
    <mergeCell ref="N19:O19"/>
    <mergeCell ref="Q19:R19"/>
    <mergeCell ref="D10:F18"/>
    <mergeCell ref="G10:I18"/>
    <mergeCell ref="K10:M18"/>
    <mergeCell ref="N10:P18"/>
    <mergeCell ref="Q10:S18"/>
    <mergeCell ref="D42:E42"/>
    <mergeCell ref="A19:B19"/>
    <mergeCell ref="D19:E19"/>
    <mergeCell ref="D45:E45"/>
    <mergeCell ref="D46:E46"/>
    <mergeCell ref="D64:E64"/>
    <mergeCell ref="U31:V31"/>
    <mergeCell ref="U32:V32"/>
    <mergeCell ref="C34:Q34"/>
    <mergeCell ref="A36:G36"/>
    <mergeCell ref="I36:S37"/>
    <mergeCell ref="U36:W56"/>
    <mergeCell ref="A37:G40"/>
    <mergeCell ref="F41:G41"/>
    <mergeCell ref="D48:E48"/>
    <mergeCell ref="D49:E49"/>
    <mergeCell ref="D50:E50"/>
    <mergeCell ref="D51:E51"/>
    <mergeCell ref="D52:E52"/>
    <mergeCell ref="D53:E53"/>
    <mergeCell ref="D54:E54"/>
    <mergeCell ref="D68:E68"/>
    <mergeCell ref="D67:E67"/>
    <mergeCell ref="D66:E66"/>
    <mergeCell ref="D65:E65"/>
    <mergeCell ref="D74:E74"/>
    <mergeCell ref="D73:E73"/>
    <mergeCell ref="D72:E72"/>
    <mergeCell ref="D71:E71"/>
    <mergeCell ref="D70:E70"/>
    <mergeCell ref="D69:E69"/>
  </mergeCells>
  <printOptions horizontalCentered="1"/>
  <pageMargins left="0.25" right="0.25" top="0.25" bottom="0.75" header="0.3" footer="0.05"/>
  <pageSetup scale="53" orientation="landscape" r:id="rId1"/>
  <headerFooter>
    <oddFooter>&amp;L&amp;12MC069 (rev 4.2023)
&amp;F&amp;R&amp;12&amp;A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Weight Fee</vt:lpstr>
      <vt:lpstr>NV Based GST (2024)</vt:lpstr>
      <vt:lpstr>'Weight Fee'!Print_Titles</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TBaltisberger</dc:creator>
  <cp:lastModifiedBy>Kevin Malone</cp:lastModifiedBy>
  <cp:lastPrinted>2023-04-13T19:15:05Z</cp:lastPrinted>
  <dcterms:created xsi:type="dcterms:W3CDTF">2001-07-02T19:56:23Z</dcterms:created>
  <dcterms:modified xsi:type="dcterms:W3CDTF">2023-04-24T17:28:21Z</dcterms:modified>
</cp:coreProperties>
</file>